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an\Downloads\"/>
    </mc:Choice>
  </mc:AlternateContent>
  <bookViews>
    <workbookView xWindow="0" yWindow="0" windowWidth="28800" windowHeight="12312" tabRatio="673" firstSheet="7" activeTab="7"/>
  </bookViews>
  <sheets>
    <sheet name="Product Target June'22 35.5 (2)" sheetId="133" state="hidden" r:id="rId1"/>
    <sheet name="Product Target July'22 35.5 Cr" sheetId="132" state="hidden" r:id="rId2"/>
    <sheet name="Product Target June'22 35 Cr." sheetId="131" state="hidden" r:id="rId3"/>
    <sheet name="National Target Feb'23 (2)" sheetId="144" state="hidden" r:id="rId4"/>
    <sheet name="National Target June'23 (3)" sheetId="154" state="hidden" r:id="rId5"/>
    <sheet name="National Target June'23 (4)" sheetId="156" state="hidden" r:id="rId6"/>
    <sheet name="Dhaka Depot June'23 L" sheetId="155" state="hidden" r:id="rId7"/>
    <sheet name="National Target Dec 23 _F" sheetId="168" r:id="rId8"/>
    <sheet name="National Target Oct'23 " sheetId="163" state="hidden" r:id="rId9"/>
    <sheet name="National Target Sep'23 Final" sheetId="162" state="hidden" r:id="rId10"/>
    <sheet name="National Target Sep'23" sheetId="160" state="hidden" r:id="rId11"/>
    <sheet name="National Target July'23 Final" sheetId="152" state="hidden" r:id="rId12"/>
    <sheet name="National Target June'23" sheetId="151" state="hidden" r:id="rId13"/>
    <sheet name="National Target May'23" sheetId="150" state="hidden" r:id="rId14"/>
    <sheet name="National Target April'23_2" sheetId="149" state="hidden" r:id="rId15"/>
    <sheet name="National Target April'23" sheetId="148" state="hidden" r:id="rId16"/>
    <sheet name="National Target March'23_F" sheetId="146" state="hidden" r:id="rId17"/>
    <sheet name="National Target Mar'23" sheetId="142" state="hidden" r:id="rId18"/>
    <sheet name="National Target Jan'23_Signatur" sheetId="139" state="hidden" r:id="rId19"/>
    <sheet name="Dhaka Depot Feb'23_2" sheetId="143" state="hidden" r:id="rId20"/>
    <sheet name="Dhaka Depot Feb'23-1" sheetId="141" state="hidden" r:id="rId21"/>
    <sheet name="Dhaka Depot April'23" sheetId="147" state="hidden" r:id="rId22"/>
    <sheet name="Dhaka Depot Oct'23 MU" sheetId="166" state="hidden" r:id="rId23"/>
    <sheet name="Dhaka Depot Oct'23 (2)" sheetId="169" state="hidden" r:id="rId24"/>
    <sheet name="Dhaka Depot Oct'23" sheetId="167" state="hidden" r:id="rId25"/>
    <sheet name="Dhaka Depot Sep'23" sheetId="158" state="hidden" r:id="rId26"/>
    <sheet name="Sheet1" sheetId="161" state="hidden" r:id="rId27"/>
    <sheet name="Dhaka Depot June'23 New" sheetId="157" state="hidden" r:id="rId28"/>
    <sheet name="Dhaka Depot June'23.Prevous" sheetId="153" state="hidden" r:id="rId29"/>
    <sheet name="Dhaka Depot March'23" sheetId="145" state="hidden" r:id="rId30"/>
    <sheet name="Dhaka Depot" sheetId="140" state="hidden" r:id="rId31"/>
    <sheet name="National Target Jan 23_Draft" sheetId="138" state="hidden" r:id="rId32"/>
    <sheet name="National Target January 23" sheetId="137" state="hidden" r:id="rId33"/>
    <sheet name="National Target Dec'22" sheetId="136" state="hidden" r:id="rId34"/>
    <sheet name="National Target Aug'22" sheetId="134" state="hidden" r:id="rId35"/>
    <sheet name="National Target July'22" sheetId="117" state="hidden" r:id="rId36"/>
    <sheet name="Nationat Target June'22" sheetId="135" state="hidden" r:id="rId37"/>
  </sheets>
  <externalReferences>
    <externalReference r:id="rId38"/>
  </externalReferences>
  <definedNames>
    <definedName name="_xlnm._FilterDatabase" localSheetId="15" hidden="1">'National Target April''23'!$A$28:$F$28</definedName>
    <definedName name="_xlnm._FilterDatabase" localSheetId="14" hidden="1">'National Target April''23_2'!$A$28:$F$28</definedName>
    <definedName name="_xlnm._FilterDatabase" localSheetId="34" hidden="1">'National Target Aug''22'!$A$22:$J$22</definedName>
    <definedName name="_xlnm._FilterDatabase" localSheetId="7" hidden="1">'National Target Dec 23 _F'!$A$35:$F$35</definedName>
    <definedName name="_xlnm._FilterDatabase" localSheetId="33" hidden="1">'National Target Dec''22'!$A$22:$J$22</definedName>
    <definedName name="_xlnm._FilterDatabase" localSheetId="3" hidden="1">'National Target Feb''23 (2)'!#REF!</definedName>
    <definedName name="_xlnm._FilterDatabase" localSheetId="31" hidden="1">'National Target Jan 23_Draft'!$A$22:$J$22</definedName>
    <definedName name="_xlnm._FilterDatabase" localSheetId="18" hidden="1">'National Target Jan''23_Signatur'!$A$28:$J$28</definedName>
    <definedName name="_xlnm._FilterDatabase" localSheetId="32" hidden="1">'National Target January 23'!$A$22:$J$22</definedName>
    <definedName name="_xlnm._FilterDatabase" localSheetId="35" hidden="1">'National Target July''22'!$A$22:$M$22</definedName>
    <definedName name="_xlnm._FilterDatabase" localSheetId="11" hidden="1">'National Target July''23 Final'!$A$28:$F$28</definedName>
    <definedName name="_xlnm._FilterDatabase" localSheetId="12" hidden="1">'National Target June''23'!$A$28:$F$28</definedName>
    <definedName name="_xlnm._FilterDatabase" localSheetId="4" hidden="1">'National Target June''23 (3)'!$A$28:$F$28</definedName>
    <definedName name="_xlnm._FilterDatabase" localSheetId="5" hidden="1">'National Target June''23 (4)'!$A$28:$F$28</definedName>
    <definedName name="_xlnm._FilterDatabase" localSheetId="17" hidden="1">'National Target Mar''23'!$A$28:$F$28</definedName>
    <definedName name="_xlnm._FilterDatabase" localSheetId="16" hidden="1">'National Target March''23_F'!$A$28:$F$28</definedName>
    <definedName name="_xlnm._FilterDatabase" localSheetId="13" hidden="1">'National Target May''23'!$A$28:$F$28</definedName>
    <definedName name="_xlnm._FilterDatabase" localSheetId="8" hidden="1">'National Target Oct''23 '!$A$34:$F$34</definedName>
    <definedName name="_xlnm._FilterDatabase" localSheetId="10" hidden="1">'National Target Sep''23'!$A$28:$F$28</definedName>
    <definedName name="_xlnm._FilterDatabase" localSheetId="9" hidden="1">'National Target Sep''23 Final'!$A$34:$F$34</definedName>
    <definedName name="_xlnm.Print_Area" localSheetId="30">'Dhaka Depot'!$A$1:$H$48</definedName>
    <definedName name="_xlnm.Print_Area" localSheetId="21">'Dhaka Depot April''23'!$A$1:$H$48</definedName>
    <definedName name="_xlnm.Print_Area" localSheetId="19">'Dhaka Depot Feb''23_2'!$A$1:$J$61</definedName>
    <definedName name="_xlnm.Print_Area" localSheetId="20">'Dhaka Depot Feb''23-1'!$A$1:$H$61</definedName>
    <definedName name="_xlnm.Print_Area" localSheetId="6">'Dhaka Depot June''23 L'!$A$1:$H$48</definedName>
    <definedName name="_xlnm.Print_Area" localSheetId="27">'Dhaka Depot June''23 New'!$A$1:$J$21</definedName>
    <definedName name="_xlnm.Print_Area" localSheetId="28">'Dhaka Depot June''23.Prevous'!$A$1:$H$48</definedName>
    <definedName name="_xlnm.Print_Area" localSheetId="29">'Dhaka Depot March''23'!$A$1:$H$48</definedName>
    <definedName name="_xlnm.Print_Area" localSheetId="24">'Dhaka Depot Oct''23'!$A$1:$P$22</definedName>
    <definedName name="_xlnm.Print_Area" localSheetId="23">'Dhaka Depot Oct''23 (2)'!$A$1:$P$22</definedName>
    <definedName name="_xlnm.Print_Area" localSheetId="22">'Dhaka Depot Oct''23 MU'!$A$1:$L$21</definedName>
    <definedName name="_xlnm.Print_Area" localSheetId="25">'Dhaka Depot Sep''23'!$A$1:$J$21</definedName>
    <definedName name="_xlnm.Print_Area" localSheetId="15">'National Target April''23'!$A$1:$E$54</definedName>
    <definedName name="_xlnm.Print_Area" localSheetId="14">'National Target April''23_2'!$A$1:$E$54</definedName>
    <definedName name="_xlnm.Print_Area" localSheetId="34">'National Target Aug''22'!$A$1:$E$55</definedName>
    <definedName name="_xlnm.Print_Area" localSheetId="7">'National Target Dec 23 _F'!$A$1:$E$57</definedName>
    <definedName name="_xlnm.Print_Area" localSheetId="33">'National Target Dec''22'!$A$1:$E$55</definedName>
    <definedName name="_xlnm.Print_Area" localSheetId="3">'National Target Feb''23 (2)'!$A$1:$E$27</definedName>
    <definedName name="_xlnm.Print_Area" localSheetId="31">'National Target Jan 23_Draft'!$A$1:$E$51</definedName>
    <definedName name="_xlnm.Print_Area" localSheetId="18">'National Target Jan''23_Signatur'!$A$1:$E$54</definedName>
    <definedName name="_xlnm.Print_Area" localSheetId="32">'National Target January 23'!$A$1:$E$51</definedName>
    <definedName name="_xlnm.Print_Area" localSheetId="35">'National Target July''22'!$A$1:$E$55</definedName>
    <definedName name="_xlnm.Print_Area" localSheetId="11">'National Target July''23 Final'!$A$1:$E$54</definedName>
    <definedName name="_xlnm.Print_Area" localSheetId="12">'National Target June''23'!$A$1:$E$54</definedName>
    <definedName name="_xlnm.Print_Area" localSheetId="4">'National Target June''23 (3)'!$A$1:$E$54</definedName>
    <definedName name="_xlnm.Print_Area" localSheetId="5">'National Target June''23 (4)'!$A$1:$E$54</definedName>
    <definedName name="_xlnm.Print_Area" localSheetId="17">'National Target Mar''23'!$A$1:$E$54</definedName>
    <definedName name="_xlnm.Print_Area" localSheetId="16">'National Target March''23_F'!$A$1:$E$54</definedName>
    <definedName name="_xlnm.Print_Area" localSheetId="13">'National Target May''23'!$A$1:$E$54</definedName>
    <definedName name="_xlnm.Print_Area" localSheetId="8">'National Target Oct''23 '!$A$1:$E$56</definedName>
    <definedName name="_xlnm.Print_Area" localSheetId="10">'National Target Sep''23'!$A$1:$E$54</definedName>
    <definedName name="_xlnm.Print_Area" localSheetId="9">'National Target Sep''23 Final'!$A$1:$E$56</definedName>
    <definedName name="_xlnm.Print_Area" localSheetId="1">'Product Target July''22 35.5 Cr'!$A$1:$Y$76</definedName>
    <definedName name="_xlnm.Print_Area" localSheetId="2">'Product Target June''22 35 Cr.'!$A$1:$Y$73</definedName>
    <definedName name="_xlnm.Print_Area" localSheetId="0">'Product Target June''22 35.5 (2)'!$A$1:$Y$63</definedName>
  </definedNames>
  <calcPr calcId="162913"/>
</workbook>
</file>

<file path=xl/calcChain.xml><?xml version="1.0" encoding="utf-8"?>
<calcChain xmlns="http://schemas.openxmlformats.org/spreadsheetml/2006/main">
  <c r="O17" i="168" l="1"/>
  <c r="J13" i="169" l="1"/>
  <c r="J14" i="169"/>
  <c r="J15" i="169"/>
  <c r="J16" i="169"/>
  <c r="J17" i="169"/>
  <c r="J18" i="169"/>
  <c r="J19" i="169"/>
  <c r="J12" i="169"/>
  <c r="E13" i="169"/>
  <c r="N13" i="169" s="1"/>
  <c r="E14" i="169"/>
  <c r="N14" i="169" s="1"/>
  <c r="E15" i="169"/>
  <c r="E16" i="169"/>
  <c r="N16" i="169" s="1"/>
  <c r="E17" i="169"/>
  <c r="N17" i="169" s="1"/>
  <c r="E18" i="169"/>
  <c r="E19" i="169"/>
  <c r="N19" i="169" s="1"/>
  <c r="E12" i="169"/>
  <c r="N12" i="169" s="1"/>
  <c r="N18" i="169" l="1"/>
  <c r="E20" i="169"/>
  <c r="E23" i="169" s="1"/>
  <c r="N15" i="169"/>
  <c r="I20" i="169"/>
  <c r="D20" i="169"/>
  <c r="K19" i="169"/>
  <c r="L19" i="169" s="1"/>
  <c r="G19" i="169"/>
  <c r="F18" i="169"/>
  <c r="G18" i="169" s="1"/>
  <c r="F17" i="169"/>
  <c r="G17" i="169" s="1"/>
  <c r="F16" i="169"/>
  <c r="G16" i="169" s="1"/>
  <c r="F15" i="169"/>
  <c r="G15" i="169" s="1"/>
  <c r="F14" i="169"/>
  <c r="G14" i="169" s="1"/>
  <c r="F13" i="169"/>
  <c r="G13" i="169" s="1"/>
  <c r="F12" i="169"/>
  <c r="G12" i="169" s="1"/>
  <c r="E9" i="168"/>
  <c r="E24" i="168"/>
  <c r="D25" i="168"/>
  <c r="E25" i="168" s="1"/>
  <c r="E23" i="168"/>
  <c r="E46" i="168"/>
  <c r="E44" i="168"/>
  <c r="E43" i="168"/>
  <c r="E42" i="168"/>
  <c r="E45" i="168"/>
  <c r="E41" i="168"/>
  <c r="E40" i="168"/>
  <c r="E39" i="168"/>
  <c r="E38" i="168"/>
  <c r="E37" i="168"/>
  <c r="E36" i="168"/>
  <c r="E35" i="168"/>
  <c r="E34" i="168"/>
  <c r="E33" i="168"/>
  <c r="E32" i="168"/>
  <c r="D31" i="168"/>
  <c r="E31" i="168" s="1"/>
  <c r="E30" i="168"/>
  <c r="E29" i="168"/>
  <c r="D28" i="168"/>
  <c r="E28" i="168" s="1"/>
  <c r="E27" i="168"/>
  <c r="E26" i="168"/>
  <c r="E22" i="168"/>
  <c r="D21" i="168"/>
  <c r="E20" i="168"/>
  <c r="E19" i="168"/>
  <c r="E18" i="168"/>
  <c r="D17" i="168"/>
  <c r="E17" i="168" s="1"/>
  <c r="E16" i="168"/>
  <c r="E15" i="168"/>
  <c r="E14" i="168"/>
  <c r="E13" i="168"/>
  <c r="E12" i="168"/>
  <c r="E11" i="168"/>
  <c r="E10" i="168"/>
  <c r="G19" i="167"/>
  <c r="M19" i="169" l="1"/>
  <c r="G20" i="169"/>
  <c r="P19" i="169"/>
  <c r="M17" i="169"/>
  <c r="K17" i="169" s="1"/>
  <c r="L17" i="169" s="1"/>
  <c r="P17" i="169" s="1"/>
  <c r="O19" i="169"/>
  <c r="F20" i="169"/>
  <c r="J20" i="169"/>
  <c r="H19" i="169" s="1"/>
  <c r="M15" i="169"/>
  <c r="K15" i="169" s="1"/>
  <c r="L15" i="169" s="1"/>
  <c r="P15" i="169" s="1"/>
  <c r="M16" i="169"/>
  <c r="K16" i="169" s="1"/>
  <c r="L16" i="169" s="1"/>
  <c r="P16" i="169" s="1"/>
  <c r="M13" i="169"/>
  <c r="K13" i="169" s="1"/>
  <c r="L13" i="169" s="1"/>
  <c r="P13" i="169" s="1"/>
  <c r="M14" i="169"/>
  <c r="K14" i="169" s="1"/>
  <c r="L14" i="169" s="1"/>
  <c r="P14" i="169" s="1"/>
  <c r="M18" i="169"/>
  <c r="K18" i="169" s="1"/>
  <c r="L18" i="169" s="1"/>
  <c r="P18" i="169" s="1"/>
  <c r="D47" i="168"/>
  <c r="E21" i="168"/>
  <c r="E47" i="168" s="1"/>
  <c r="F13" i="167"/>
  <c r="G13" i="167" s="1"/>
  <c r="F14" i="167"/>
  <c r="G14" i="167" s="1"/>
  <c r="F15" i="167"/>
  <c r="G15" i="167" s="1"/>
  <c r="F16" i="167"/>
  <c r="F17" i="167"/>
  <c r="G17" i="167" s="1"/>
  <c r="F18" i="167"/>
  <c r="G18" i="167" s="1"/>
  <c r="F12" i="167"/>
  <c r="K19" i="167"/>
  <c r="O19" i="167" s="1"/>
  <c r="J12" i="167"/>
  <c r="E12" i="167"/>
  <c r="J13" i="167"/>
  <c r="J14" i="167"/>
  <c r="J15" i="167"/>
  <c r="J16" i="167"/>
  <c r="J17" i="167"/>
  <c r="J18" i="167"/>
  <c r="J19" i="167"/>
  <c r="E13" i="167"/>
  <c r="E14" i="167"/>
  <c r="E15" i="167"/>
  <c r="E16" i="167"/>
  <c r="E17" i="167"/>
  <c r="E18" i="167"/>
  <c r="E19" i="167"/>
  <c r="D17" i="163"/>
  <c r="E17" i="163" s="1"/>
  <c r="O17" i="163" s="1"/>
  <c r="I20" i="167"/>
  <c r="D20" i="167"/>
  <c r="F12" i="166"/>
  <c r="E12" i="166"/>
  <c r="E9" i="163"/>
  <c r="E12" i="158"/>
  <c r="I12" i="166"/>
  <c r="I13" i="166"/>
  <c r="I14" i="166"/>
  <c r="I15" i="166"/>
  <c r="I16" i="166"/>
  <c r="I17" i="166"/>
  <c r="I18" i="166"/>
  <c r="I19" i="166"/>
  <c r="E13" i="166"/>
  <c r="E14" i="166"/>
  <c r="E15" i="166"/>
  <c r="E16" i="166"/>
  <c r="E17" i="166"/>
  <c r="E18" i="166"/>
  <c r="E19" i="166"/>
  <c r="M20" i="166"/>
  <c r="N19" i="166"/>
  <c r="J19" i="166"/>
  <c r="F19" i="166"/>
  <c r="N18" i="166"/>
  <c r="J18" i="166"/>
  <c r="F18" i="166"/>
  <c r="N17" i="166"/>
  <c r="J17" i="166"/>
  <c r="F17" i="166"/>
  <c r="N16" i="166"/>
  <c r="J16" i="166"/>
  <c r="F16" i="166"/>
  <c r="N15" i="166"/>
  <c r="J15" i="166"/>
  <c r="F15" i="166"/>
  <c r="N14" i="166"/>
  <c r="J14" i="166"/>
  <c r="F14" i="166"/>
  <c r="N13" i="166"/>
  <c r="J13" i="166"/>
  <c r="F13" i="166"/>
  <c r="N12" i="166"/>
  <c r="J12" i="166"/>
  <c r="C17" i="169" l="1"/>
  <c r="O17" i="169"/>
  <c r="C14" i="169"/>
  <c r="C16" i="169"/>
  <c r="C15" i="169"/>
  <c r="C19" i="169"/>
  <c r="M12" i="169"/>
  <c r="N20" i="169"/>
  <c r="H20" i="169"/>
  <c r="J23" i="169"/>
  <c r="O16" i="169"/>
  <c r="C18" i="169"/>
  <c r="H12" i="169"/>
  <c r="H13" i="169"/>
  <c r="C13" i="169"/>
  <c r="H14" i="169"/>
  <c r="O13" i="169"/>
  <c r="C20" i="169"/>
  <c r="O15" i="169"/>
  <c r="H16" i="169"/>
  <c r="H17" i="169"/>
  <c r="H18" i="169"/>
  <c r="H15" i="169"/>
  <c r="O18" i="169"/>
  <c r="O14" i="169"/>
  <c r="G23" i="169"/>
  <c r="C12" i="169"/>
  <c r="I20" i="166"/>
  <c r="N12" i="167"/>
  <c r="M12" i="167" s="1"/>
  <c r="K12" i="167" s="1"/>
  <c r="O12" i="167" s="1"/>
  <c r="G16" i="167"/>
  <c r="F20" i="167"/>
  <c r="G12" i="167"/>
  <c r="N14" i="167"/>
  <c r="M14" i="167" s="1"/>
  <c r="K14" i="167" s="1"/>
  <c r="N18" i="167"/>
  <c r="M18" i="167" s="1"/>
  <c r="K18" i="167" s="1"/>
  <c r="N16" i="167"/>
  <c r="M16" i="167" s="1"/>
  <c r="K16" i="167" s="1"/>
  <c r="N15" i="167"/>
  <c r="M15" i="167" s="1"/>
  <c r="K15" i="167" s="1"/>
  <c r="N19" i="167"/>
  <c r="M19" i="167" s="1"/>
  <c r="J20" i="167"/>
  <c r="E20" i="167"/>
  <c r="N13" i="167"/>
  <c r="M13" i="167" s="1"/>
  <c r="K13" i="167" s="1"/>
  <c r="N17" i="167"/>
  <c r="M17" i="167" s="1"/>
  <c r="K17" i="167" s="1"/>
  <c r="E20" i="166"/>
  <c r="N20" i="166"/>
  <c r="J20" i="166"/>
  <c r="F20" i="166"/>
  <c r="E45" i="163"/>
  <c r="E44" i="163"/>
  <c r="E43" i="163"/>
  <c r="E42" i="163"/>
  <c r="E41" i="163"/>
  <c r="E40" i="163"/>
  <c r="E39" i="163"/>
  <c r="E38" i="163"/>
  <c r="E37" i="163"/>
  <c r="E36" i="163"/>
  <c r="E35" i="163"/>
  <c r="E34" i="163"/>
  <c r="E33" i="163"/>
  <c r="E32" i="163"/>
  <c r="E31" i="163"/>
  <c r="D30" i="163"/>
  <c r="E30" i="163" s="1"/>
  <c r="E29" i="163"/>
  <c r="E28" i="163"/>
  <c r="D27" i="163"/>
  <c r="E27" i="163" s="1"/>
  <c r="E26" i="163"/>
  <c r="E25" i="163"/>
  <c r="D24" i="163"/>
  <c r="E24" i="163" s="1"/>
  <c r="E23" i="163"/>
  <c r="E22" i="163"/>
  <c r="D21" i="163"/>
  <c r="E20" i="163"/>
  <c r="E19" i="163"/>
  <c r="E18" i="163"/>
  <c r="E16" i="163"/>
  <c r="E15" i="163"/>
  <c r="E14" i="163"/>
  <c r="E13" i="163"/>
  <c r="E12" i="163"/>
  <c r="E11" i="163"/>
  <c r="E10" i="163"/>
  <c r="D27" i="162"/>
  <c r="E27" i="162" s="1"/>
  <c r="E19" i="162"/>
  <c r="E20" i="162"/>
  <c r="E22" i="162"/>
  <c r="E23" i="162"/>
  <c r="E25" i="162"/>
  <c r="E26" i="162"/>
  <c r="E28" i="162"/>
  <c r="E29" i="162"/>
  <c r="E31" i="162"/>
  <c r="E32" i="162"/>
  <c r="E34" i="162"/>
  <c r="E33" i="162"/>
  <c r="E35" i="162"/>
  <c r="E36" i="162"/>
  <c r="E37" i="162"/>
  <c r="E38" i="162"/>
  <c r="E39" i="162"/>
  <c r="E40" i="162"/>
  <c r="E41" i="162"/>
  <c r="E42" i="162"/>
  <c r="E43" i="162"/>
  <c r="E44" i="162"/>
  <c r="E45" i="162"/>
  <c r="E10" i="162"/>
  <c r="E11" i="162"/>
  <c r="E12" i="162"/>
  <c r="E13" i="162"/>
  <c r="E14" i="162"/>
  <c r="E15" i="162"/>
  <c r="E16" i="162"/>
  <c r="E18" i="162"/>
  <c r="E9" i="162"/>
  <c r="D30" i="162"/>
  <c r="E30" i="162" s="1"/>
  <c r="D24" i="162"/>
  <c r="E24" i="162" s="1"/>
  <c r="D21" i="162"/>
  <c r="D17" i="162"/>
  <c r="E17" i="162" s="1"/>
  <c r="H13" i="158"/>
  <c r="D15" i="161"/>
  <c r="C15" i="161"/>
  <c r="E14" i="161"/>
  <c r="E13" i="161"/>
  <c r="E12" i="161"/>
  <c r="E11" i="161"/>
  <c r="E10" i="161"/>
  <c r="E9" i="161"/>
  <c r="E8" i="161"/>
  <c r="E7" i="161"/>
  <c r="F15" i="161"/>
  <c r="H14" i="161"/>
  <c r="H13" i="161"/>
  <c r="H11" i="161"/>
  <c r="H10" i="161"/>
  <c r="H9" i="161"/>
  <c r="H7" i="161"/>
  <c r="J22" i="169" l="1"/>
  <c r="E22" i="169"/>
  <c r="K12" i="169"/>
  <c r="M20" i="169"/>
  <c r="D46" i="163"/>
  <c r="E15" i="161"/>
  <c r="D46" i="162"/>
  <c r="C13" i="166"/>
  <c r="F22" i="166"/>
  <c r="E21" i="163"/>
  <c r="E46" i="163" s="1"/>
  <c r="G46" i="163" s="1"/>
  <c r="E23" i="167"/>
  <c r="N20" i="167"/>
  <c r="E22" i="167" s="1"/>
  <c r="H20" i="167"/>
  <c r="M20" i="167"/>
  <c r="G20" i="167"/>
  <c r="G23" i="167" s="1"/>
  <c r="K20" i="167"/>
  <c r="L12" i="167"/>
  <c r="L14" i="167"/>
  <c r="P14" i="167" s="1"/>
  <c r="O14" i="167"/>
  <c r="L17" i="167"/>
  <c r="P17" i="167" s="1"/>
  <c r="O17" i="167"/>
  <c r="L13" i="167"/>
  <c r="P13" i="167" s="1"/>
  <c r="O13" i="167"/>
  <c r="L15" i="167"/>
  <c r="P15" i="167" s="1"/>
  <c r="O15" i="167"/>
  <c r="L16" i="167"/>
  <c r="P16" i="167" s="1"/>
  <c r="O16" i="167"/>
  <c r="L18" i="167"/>
  <c r="P18" i="167" s="1"/>
  <c r="O18" i="167"/>
  <c r="L19" i="167"/>
  <c r="P19" i="167" s="1"/>
  <c r="C14" i="167"/>
  <c r="H19" i="167"/>
  <c r="H15" i="167"/>
  <c r="H14" i="167"/>
  <c r="H18" i="167"/>
  <c r="H12" i="167"/>
  <c r="H17" i="167"/>
  <c r="J23" i="167"/>
  <c r="H16" i="167"/>
  <c r="H13" i="167"/>
  <c r="C19" i="167"/>
  <c r="C20" i="167"/>
  <c r="C16" i="167"/>
  <c r="C15" i="167"/>
  <c r="C12" i="167"/>
  <c r="C18" i="167"/>
  <c r="C17" i="167"/>
  <c r="C13" i="167"/>
  <c r="C16" i="166"/>
  <c r="G17" i="166"/>
  <c r="G13" i="166"/>
  <c r="G20" i="166"/>
  <c r="G19" i="166"/>
  <c r="J23" i="166"/>
  <c r="G16" i="166"/>
  <c r="G12" i="166"/>
  <c r="G18" i="166"/>
  <c r="C20" i="166"/>
  <c r="C14" i="166"/>
  <c r="F23" i="166"/>
  <c r="C18" i="166"/>
  <c r="C19" i="166"/>
  <c r="C15" i="166"/>
  <c r="C12" i="166"/>
  <c r="K20" i="166"/>
  <c r="M23" i="166" s="1"/>
  <c r="M24" i="166" s="1"/>
  <c r="W20" i="166"/>
  <c r="C17" i="166"/>
  <c r="G15" i="166"/>
  <c r="G14" i="166"/>
  <c r="E21" i="162"/>
  <c r="E46" i="162" s="1"/>
  <c r="G46" i="162" s="1"/>
  <c r="H8" i="161"/>
  <c r="H12" i="161"/>
  <c r="G15" i="161"/>
  <c r="E13" i="158"/>
  <c r="K20" i="169" l="1"/>
  <c r="L12" i="169"/>
  <c r="O12" i="169"/>
  <c r="O20" i="169" s="1"/>
  <c r="J22" i="167"/>
  <c r="O20" i="167"/>
  <c r="J22" i="166"/>
  <c r="H15" i="161"/>
  <c r="G20" i="158"/>
  <c r="D20" i="158"/>
  <c r="L20" i="169" l="1"/>
  <c r="P12" i="169"/>
  <c r="P20" i="169" s="1"/>
  <c r="G22" i="169" s="1"/>
  <c r="P12" i="167"/>
  <c r="P20" i="167" s="1"/>
  <c r="G22" i="167" s="1"/>
  <c r="L20" i="167"/>
  <c r="L23" i="167" s="1"/>
  <c r="E43" i="160"/>
  <c r="E42" i="160"/>
  <c r="E41" i="160"/>
  <c r="E40" i="160"/>
  <c r="E39" i="160"/>
  <c r="E38" i="160"/>
  <c r="E37" i="160"/>
  <c r="E36" i="160"/>
  <c r="E35" i="160"/>
  <c r="E34" i="160"/>
  <c r="E33" i="160"/>
  <c r="E32" i="160"/>
  <c r="E31" i="160"/>
  <c r="E30" i="160"/>
  <c r="E29" i="160"/>
  <c r="E28" i="160"/>
  <c r="D27" i="160"/>
  <c r="E27" i="160" s="1"/>
  <c r="E26" i="160"/>
  <c r="E25" i="160"/>
  <c r="D24" i="160"/>
  <c r="E23" i="160"/>
  <c r="E22" i="160"/>
  <c r="D21" i="160"/>
  <c r="E21" i="160" s="1"/>
  <c r="E20" i="160"/>
  <c r="E19" i="160"/>
  <c r="E18" i="160"/>
  <c r="D17" i="160"/>
  <c r="E17" i="160" s="1"/>
  <c r="E16" i="160"/>
  <c r="E15" i="160"/>
  <c r="E14" i="160"/>
  <c r="E13" i="160"/>
  <c r="E12" i="160"/>
  <c r="E11" i="160"/>
  <c r="E10" i="160"/>
  <c r="E9" i="160"/>
  <c r="L23" i="169" l="1"/>
  <c r="L22" i="169"/>
  <c r="E24" i="160"/>
  <c r="E44" i="160" s="1"/>
  <c r="G44" i="160" s="1"/>
  <c r="I30" i="160"/>
  <c r="L22" i="167"/>
  <c r="D44" i="160"/>
  <c r="E9" i="152"/>
  <c r="K20" i="158"/>
  <c r="L19" i="158"/>
  <c r="H19" i="158"/>
  <c r="E19" i="158"/>
  <c r="L18" i="158"/>
  <c r="H18" i="158"/>
  <c r="E18" i="158"/>
  <c r="L17" i="158"/>
  <c r="H17" i="158"/>
  <c r="E17" i="158"/>
  <c r="L16" i="158"/>
  <c r="H16" i="158"/>
  <c r="E16" i="158"/>
  <c r="L15" i="158"/>
  <c r="H15" i="158"/>
  <c r="E15" i="158"/>
  <c r="L14" i="158"/>
  <c r="H14" i="158"/>
  <c r="E14" i="158"/>
  <c r="L13" i="158"/>
  <c r="L12" i="158"/>
  <c r="H12" i="158"/>
  <c r="E12" i="157"/>
  <c r="H13" i="157"/>
  <c r="H14" i="157"/>
  <c r="H15" i="157"/>
  <c r="H16" i="157"/>
  <c r="H17" i="157"/>
  <c r="H18" i="157"/>
  <c r="H19" i="157"/>
  <c r="H12" i="157"/>
  <c r="E13" i="157"/>
  <c r="E14" i="157"/>
  <c r="E15" i="157"/>
  <c r="E16" i="157"/>
  <c r="E17" i="157"/>
  <c r="E18" i="157"/>
  <c r="E19" i="157"/>
  <c r="J12" i="157" l="1"/>
  <c r="I12" i="157" s="1"/>
  <c r="J12" i="158"/>
  <c r="E20" i="158"/>
  <c r="C12" i="158" s="1"/>
  <c r="J15" i="158"/>
  <c r="I15" i="158" s="1"/>
  <c r="J19" i="158"/>
  <c r="I19" i="158" s="1"/>
  <c r="E20" i="157"/>
  <c r="C12" i="157" s="1"/>
  <c r="J17" i="158"/>
  <c r="I17" i="158" s="1"/>
  <c r="H20" i="158"/>
  <c r="F12" i="158" s="1"/>
  <c r="J16" i="158"/>
  <c r="I16" i="158" s="1"/>
  <c r="J13" i="158"/>
  <c r="I13" i="158" s="1"/>
  <c r="L20" i="158"/>
  <c r="J14" i="158"/>
  <c r="I14" i="158" s="1"/>
  <c r="J18" i="158"/>
  <c r="I18" i="158" s="1"/>
  <c r="E23" i="157"/>
  <c r="K20" i="157"/>
  <c r="L19" i="157"/>
  <c r="L18" i="157"/>
  <c r="J18" i="157"/>
  <c r="I18" i="157" s="1"/>
  <c r="L17" i="157"/>
  <c r="J17" i="157"/>
  <c r="I17" i="157" s="1"/>
  <c r="L16" i="157"/>
  <c r="J16" i="157"/>
  <c r="I16" i="157" s="1"/>
  <c r="L15" i="157"/>
  <c r="J15" i="157"/>
  <c r="I15" i="157" s="1"/>
  <c r="L14" i="157"/>
  <c r="J14" i="157"/>
  <c r="I14" i="157" s="1"/>
  <c r="L13" i="157"/>
  <c r="J13" i="157"/>
  <c r="I13" i="157" s="1"/>
  <c r="L12" i="157"/>
  <c r="H20" i="155"/>
  <c r="AA20" i="155" s="1"/>
  <c r="D20" i="155"/>
  <c r="C19" i="155" s="1"/>
  <c r="G13" i="155"/>
  <c r="G14" i="155"/>
  <c r="G15" i="155"/>
  <c r="G12" i="155"/>
  <c r="H15" i="153"/>
  <c r="D17" i="156"/>
  <c r="E17" i="156" s="1"/>
  <c r="E13" i="156"/>
  <c r="J16" i="155"/>
  <c r="E43" i="156"/>
  <c r="E42" i="156"/>
  <c r="E41" i="156"/>
  <c r="E40" i="156"/>
  <c r="E39" i="156"/>
  <c r="E38" i="156"/>
  <c r="E37" i="156"/>
  <c r="E36" i="156"/>
  <c r="E35" i="156"/>
  <c r="E34" i="156"/>
  <c r="E33" i="156"/>
  <c r="E32" i="156"/>
  <c r="E31" i="156"/>
  <c r="E30" i="156"/>
  <c r="E29" i="156"/>
  <c r="E28" i="156"/>
  <c r="D27" i="156"/>
  <c r="E27" i="156" s="1"/>
  <c r="E26" i="156"/>
  <c r="E25" i="156"/>
  <c r="D24" i="156"/>
  <c r="E24" i="156" s="1"/>
  <c r="E23" i="156"/>
  <c r="E22" i="156"/>
  <c r="D21" i="156"/>
  <c r="E21" i="156" s="1"/>
  <c r="E20" i="156"/>
  <c r="E19" i="156"/>
  <c r="E18" i="156"/>
  <c r="E16" i="156"/>
  <c r="E15" i="156"/>
  <c r="E14" i="156"/>
  <c r="E12" i="156"/>
  <c r="E11" i="156"/>
  <c r="E10" i="156"/>
  <c r="E9" i="156"/>
  <c r="G17" i="155"/>
  <c r="W46" i="155"/>
  <c r="W45" i="155"/>
  <c r="W44" i="155"/>
  <c r="W43" i="155"/>
  <c r="W42" i="155"/>
  <c r="W41" i="155"/>
  <c r="W40" i="155"/>
  <c r="W39" i="155"/>
  <c r="W38" i="155"/>
  <c r="W37" i="155"/>
  <c r="W36" i="155"/>
  <c r="W35" i="155"/>
  <c r="W34" i="155"/>
  <c r="G33" i="155"/>
  <c r="E33" i="155"/>
  <c r="W32" i="155"/>
  <c r="W31" i="155"/>
  <c r="W30" i="155"/>
  <c r="W29" i="155"/>
  <c r="W28" i="155"/>
  <c r="G27" i="155"/>
  <c r="E27" i="155"/>
  <c r="W27" i="155" s="1"/>
  <c r="W26" i="155"/>
  <c r="W25" i="155"/>
  <c r="G24" i="155"/>
  <c r="E24" i="155"/>
  <c r="W24" i="155" s="1"/>
  <c r="W23" i="155"/>
  <c r="W22" i="155"/>
  <c r="W21" i="155"/>
  <c r="Q20" i="155"/>
  <c r="R20" i="155" s="1"/>
  <c r="O20" i="155"/>
  <c r="L20" i="155" s="1"/>
  <c r="N20" i="155"/>
  <c r="I20" i="155"/>
  <c r="J19" i="155"/>
  <c r="F19" i="155"/>
  <c r="F20" i="155" s="1"/>
  <c r="P18" i="155"/>
  <c r="J18" i="155"/>
  <c r="K18" i="155" s="1"/>
  <c r="V18" i="155" s="1"/>
  <c r="G18" i="155"/>
  <c r="R17" i="155"/>
  <c r="P17" i="155"/>
  <c r="J17" i="155"/>
  <c r="R16" i="155"/>
  <c r="P16" i="155"/>
  <c r="R15" i="155"/>
  <c r="P15" i="155"/>
  <c r="J15" i="155"/>
  <c r="K15" i="155" s="1"/>
  <c r="V15" i="155" s="1"/>
  <c r="C15" i="155"/>
  <c r="R14" i="155"/>
  <c r="P14" i="155"/>
  <c r="J14" i="155"/>
  <c r="K14" i="155" s="1"/>
  <c r="V14" i="155" s="1"/>
  <c r="C14" i="155"/>
  <c r="R13" i="155"/>
  <c r="P13" i="155"/>
  <c r="J13" i="155"/>
  <c r="K13" i="155" s="1"/>
  <c r="V13" i="155" s="1"/>
  <c r="C13" i="155"/>
  <c r="R12" i="155"/>
  <c r="P12" i="155"/>
  <c r="J12" i="155"/>
  <c r="H13" i="153"/>
  <c r="H12" i="153"/>
  <c r="E10" i="154"/>
  <c r="E11" i="154"/>
  <c r="E12" i="154"/>
  <c r="E13" i="154"/>
  <c r="E14" i="154"/>
  <c r="E15" i="154"/>
  <c r="E16" i="154"/>
  <c r="E9" i="154"/>
  <c r="E10" i="152"/>
  <c r="E11" i="152"/>
  <c r="E12" i="152"/>
  <c r="E13" i="152"/>
  <c r="E14" i="152"/>
  <c r="E15" i="152"/>
  <c r="E16" i="152"/>
  <c r="E43" i="154"/>
  <c r="E42" i="154"/>
  <c r="E41" i="154"/>
  <c r="E40" i="154"/>
  <c r="E39" i="154"/>
  <c r="E38" i="154"/>
  <c r="E37" i="154"/>
  <c r="E36" i="154"/>
  <c r="E35" i="154"/>
  <c r="E34" i="154"/>
  <c r="E33" i="154"/>
  <c r="E32" i="154"/>
  <c r="E31" i="154"/>
  <c r="E30" i="154"/>
  <c r="E29" i="154"/>
  <c r="E28" i="154"/>
  <c r="D27" i="154"/>
  <c r="E27" i="154" s="1"/>
  <c r="E26" i="154"/>
  <c r="E25" i="154"/>
  <c r="D24" i="154"/>
  <c r="E24" i="154" s="1"/>
  <c r="E23" i="154"/>
  <c r="E22" i="154"/>
  <c r="D21" i="154"/>
  <c r="E21" i="154" s="1"/>
  <c r="E20" i="154"/>
  <c r="E19" i="154"/>
  <c r="E18" i="154"/>
  <c r="D17" i="154"/>
  <c r="C17" i="155" l="1"/>
  <c r="C18" i="155"/>
  <c r="F17" i="156"/>
  <c r="D44" i="156"/>
  <c r="D44" i="154"/>
  <c r="J20" i="158"/>
  <c r="E22" i="158" s="1"/>
  <c r="I12" i="158"/>
  <c r="I20" i="158" s="1"/>
  <c r="C15" i="158"/>
  <c r="F16" i="158"/>
  <c r="F15" i="158"/>
  <c r="F20" i="158"/>
  <c r="F13" i="158"/>
  <c r="C13" i="158"/>
  <c r="C19" i="158"/>
  <c r="E17" i="154"/>
  <c r="J12" i="154" s="1"/>
  <c r="K12" i="154" s="1"/>
  <c r="C16" i="158"/>
  <c r="C17" i="158"/>
  <c r="C14" i="158"/>
  <c r="C20" i="158"/>
  <c r="C18" i="158"/>
  <c r="F18" i="158"/>
  <c r="F19" i="158"/>
  <c r="H23" i="158"/>
  <c r="F14" i="158"/>
  <c r="F17" i="158"/>
  <c r="E23" i="158"/>
  <c r="L20" i="157"/>
  <c r="C20" i="157"/>
  <c r="C15" i="157"/>
  <c r="C19" i="157"/>
  <c r="C14" i="157"/>
  <c r="C18" i="157"/>
  <c r="C13" i="157"/>
  <c r="C17" i="157"/>
  <c r="C16" i="157"/>
  <c r="E44" i="156"/>
  <c r="G44" i="156" s="1"/>
  <c r="G19" i="155"/>
  <c r="K16" i="155"/>
  <c r="V16" i="155" s="1"/>
  <c r="J51" i="155"/>
  <c r="K17" i="155"/>
  <c r="V17" i="155" s="1"/>
  <c r="H47" i="155"/>
  <c r="K19" i="155"/>
  <c r="V19" i="155" s="1"/>
  <c r="J20" i="155"/>
  <c r="P20" i="155"/>
  <c r="N8" i="155" s="1"/>
  <c r="C12" i="155"/>
  <c r="C16" i="155"/>
  <c r="L19" i="155"/>
  <c r="M19" i="155" s="1"/>
  <c r="K12" i="155"/>
  <c r="V12" i="155" s="1"/>
  <c r="C20" i="155" l="1"/>
  <c r="H22" i="158"/>
  <c r="K23" i="158"/>
  <c r="K24" i="158" s="1"/>
  <c r="G20" i="155"/>
  <c r="G47" i="155" s="1"/>
  <c r="U20" i="158"/>
  <c r="J52" i="155"/>
  <c r="L17" i="155"/>
  <c r="M17" i="155" s="1"/>
  <c r="E16" i="155"/>
  <c r="W16" i="155" s="1"/>
  <c r="L13" i="155"/>
  <c r="M13" i="155" s="1"/>
  <c r="E12" i="155"/>
  <c r="L12" i="155"/>
  <c r="M12" i="155" s="1"/>
  <c r="F47" i="155"/>
  <c r="L18" i="155"/>
  <c r="M18" i="155" s="1"/>
  <c r="E17" i="155"/>
  <c r="W17" i="155" s="1"/>
  <c r="L14" i="155"/>
  <c r="M14" i="155" s="1"/>
  <c r="E13" i="155"/>
  <c r="W13" i="155" s="1"/>
  <c r="E18" i="155"/>
  <c r="W18" i="155" s="1"/>
  <c r="E19" i="155"/>
  <c r="W19" i="155" s="1"/>
  <c r="E15" i="155"/>
  <c r="W15" i="155" s="1"/>
  <c r="L15" i="155"/>
  <c r="M15" i="155" s="1"/>
  <c r="E14" i="155"/>
  <c r="W14" i="155" s="1"/>
  <c r="L16" i="155"/>
  <c r="M16" i="155" s="1"/>
  <c r="J13" i="154"/>
  <c r="K13" i="154" s="1"/>
  <c r="E44" i="154"/>
  <c r="G44" i="154" s="1"/>
  <c r="E20" i="155" l="1"/>
  <c r="W20" i="155" s="1"/>
  <c r="W47" i="155" s="1"/>
  <c r="W12" i="155"/>
  <c r="S13" i="155"/>
  <c r="T13" i="155" s="1"/>
  <c r="U13" i="155" s="1"/>
  <c r="S16" i="155"/>
  <c r="T16" i="155" s="1"/>
  <c r="U16" i="155" s="1"/>
  <c r="S15" i="155"/>
  <c r="T15" i="155" s="1"/>
  <c r="U15" i="155" s="1"/>
  <c r="S17" i="155"/>
  <c r="T17" i="155" s="1"/>
  <c r="U17" i="155" s="1"/>
  <c r="S14" i="155"/>
  <c r="T14" i="155" s="1"/>
  <c r="U14" i="155" s="1"/>
  <c r="S12" i="155"/>
  <c r="T12" i="155" s="1"/>
  <c r="U12" i="155" s="1"/>
  <c r="D17" i="152"/>
  <c r="E17" i="152" s="1"/>
  <c r="D17" i="151"/>
  <c r="G12" i="153"/>
  <c r="D20" i="153"/>
  <c r="D51" i="153" s="1"/>
  <c r="W46" i="153"/>
  <c r="W45" i="153"/>
  <c r="W44" i="153"/>
  <c r="W43" i="153"/>
  <c r="W42" i="153"/>
  <c r="W41" i="153"/>
  <c r="W40" i="153"/>
  <c r="W39" i="153"/>
  <c r="W38" i="153"/>
  <c r="W37" i="153"/>
  <c r="W36" i="153"/>
  <c r="W35" i="153"/>
  <c r="W34" i="153"/>
  <c r="G33" i="153"/>
  <c r="E33" i="153"/>
  <c r="W32" i="153"/>
  <c r="W31" i="153"/>
  <c r="W30" i="153"/>
  <c r="W29" i="153"/>
  <c r="W28" i="153"/>
  <c r="G27" i="153"/>
  <c r="E27" i="153"/>
  <c r="W27" i="153" s="1"/>
  <c r="W26" i="153"/>
  <c r="W25" i="153"/>
  <c r="G24" i="153"/>
  <c r="E24" i="153"/>
  <c r="W24" i="153" s="1"/>
  <c r="W23" i="153"/>
  <c r="W22" i="153"/>
  <c r="W21" i="153"/>
  <c r="Q20" i="153"/>
  <c r="R20" i="153" s="1"/>
  <c r="O20" i="153"/>
  <c r="L20" i="153" s="1"/>
  <c r="N20" i="153"/>
  <c r="I20" i="153"/>
  <c r="J19" i="153"/>
  <c r="F19" i="153"/>
  <c r="F20" i="153" s="1"/>
  <c r="F51" i="153" s="1"/>
  <c r="P18" i="153"/>
  <c r="J18" i="153"/>
  <c r="H18" i="153"/>
  <c r="G18" i="153" s="1"/>
  <c r="R17" i="153"/>
  <c r="P17" i="153"/>
  <c r="J17" i="153"/>
  <c r="H17" i="153"/>
  <c r="G17" i="153" s="1"/>
  <c r="R16" i="153"/>
  <c r="P16" i="153"/>
  <c r="J16" i="153"/>
  <c r="H16" i="153"/>
  <c r="G16" i="153" s="1"/>
  <c r="R15" i="153"/>
  <c r="P15" i="153"/>
  <c r="J15" i="153"/>
  <c r="G15" i="153"/>
  <c r="R14" i="153"/>
  <c r="P14" i="153"/>
  <c r="J14" i="153"/>
  <c r="H14" i="153"/>
  <c r="G14" i="153" s="1"/>
  <c r="R13" i="153"/>
  <c r="P13" i="153"/>
  <c r="J13" i="153"/>
  <c r="G13" i="153"/>
  <c r="R12" i="153"/>
  <c r="P12" i="153"/>
  <c r="J12" i="153"/>
  <c r="S20" i="155" l="1"/>
  <c r="T20" i="155" s="1"/>
  <c r="U20" i="155" s="1"/>
  <c r="P20" i="153"/>
  <c r="C15" i="153"/>
  <c r="E47" i="155"/>
  <c r="U22" i="155"/>
  <c r="N8" i="153"/>
  <c r="H19" i="153"/>
  <c r="G19" i="153" s="1"/>
  <c r="G20" i="153" s="1"/>
  <c r="G47" i="153" s="1"/>
  <c r="G51" i="153"/>
  <c r="K14" i="153"/>
  <c r="V14" i="153" s="1"/>
  <c r="K18" i="153"/>
  <c r="V18" i="153" s="1"/>
  <c r="K16" i="153"/>
  <c r="V16" i="153" s="1"/>
  <c r="K15" i="153"/>
  <c r="V15" i="153" s="1"/>
  <c r="K17" i="153"/>
  <c r="V17" i="153" s="1"/>
  <c r="K13" i="153"/>
  <c r="V13" i="153" s="1"/>
  <c r="C12" i="153"/>
  <c r="C19" i="153"/>
  <c r="C16" i="153"/>
  <c r="C20" i="153"/>
  <c r="J20" i="153"/>
  <c r="E18" i="153"/>
  <c r="W18" i="153" s="1"/>
  <c r="L15" i="153"/>
  <c r="M15" i="153" s="1"/>
  <c r="E14" i="153"/>
  <c r="E20" i="153"/>
  <c r="E47" i="153" s="1"/>
  <c r="E19" i="153"/>
  <c r="W19" i="153" s="1"/>
  <c r="L16" i="153"/>
  <c r="M16" i="153" s="1"/>
  <c r="E15" i="153"/>
  <c r="L12" i="153"/>
  <c r="M12" i="153" s="1"/>
  <c r="L17" i="153"/>
  <c r="M17" i="153" s="1"/>
  <c r="E16" i="153"/>
  <c r="L13" i="153"/>
  <c r="M13" i="153" s="1"/>
  <c r="F47" i="153"/>
  <c r="L18" i="153"/>
  <c r="M18" i="153" s="1"/>
  <c r="E17" i="153"/>
  <c r="E12" i="153"/>
  <c r="L19" i="153"/>
  <c r="M19" i="153" s="1"/>
  <c r="L14" i="153"/>
  <c r="M14" i="153" s="1"/>
  <c r="E13" i="153"/>
  <c r="K12" i="153"/>
  <c r="V12" i="153" s="1"/>
  <c r="C14" i="153"/>
  <c r="C18" i="153"/>
  <c r="C13" i="153"/>
  <c r="C17" i="153"/>
  <c r="E43" i="152"/>
  <c r="E42" i="152"/>
  <c r="E41" i="152"/>
  <c r="E40" i="152"/>
  <c r="E39" i="152"/>
  <c r="E38" i="152"/>
  <c r="E37" i="152"/>
  <c r="E36" i="152"/>
  <c r="E35" i="152"/>
  <c r="E34" i="152"/>
  <c r="E33" i="152"/>
  <c r="E32" i="152"/>
  <c r="E31" i="152"/>
  <c r="E30" i="152"/>
  <c r="E29" i="152"/>
  <c r="E28" i="152"/>
  <c r="D27" i="152"/>
  <c r="E27" i="152" s="1"/>
  <c r="E26" i="152"/>
  <c r="E25" i="152"/>
  <c r="D24" i="152"/>
  <c r="E24" i="152" s="1"/>
  <c r="E23" i="152"/>
  <c r="E22" i="152"/>
  <c r="D21" i="152"/>
  <c r="E21" i="152" s="1"/>
  <c r="E20" i="152"/>
  <c r="E19" i="152"/>
  <c r="E18" i="152"/>
  <c r="E43" i="151"/>
  <c r="E42" i="151"/>
  <c r="E41" i="151"/>
  <c r="E40" i="151"/>
  <c r="E39" i="151"/>
  <c r="E38" i="151"/>
  <c r="E37" i="151"/>
  <c r="E36" i="151"/>
  <c r="E35" i="151"/>
  <c r="E34" i="151"/>
  <c r="E33" i="151"/>
  <c r="E32" i="151"/>
  <c r="E31" i="151"/>
  <c r="E30" i="151"/>
  <c r="E29" i="151"/>
  <c r="E28" i="151"/>
  <c r="D27" i="151"/>
  <c r="E27" i="151" s="1"/>
  <c r="E26" i="151"/>
  <c r="E25" i="151"/>
  <c r="D24" i="151"/>
  <c r="E24" i="151" s="1"/>
  <c r="E23" i="151"/>
  <c r="E22" i="151"/>
  <c r="D21" i="151"/>
  <c r="E21" i="151" s="1"/>
  <c r="E20" i="151"/>
  <c r="E19" i="151"/>
  <c r="E18" i="151"/>
  <c r="E16" i="151"/>
  <c r="E15" i="151"/>
  <c r="E14" i="151"/>
  <c r="E13" i="151"/>
  <c r="E12" i="151"/>
  <c r="E11" i="151"/>
  <c r="E10" i="151"/>
  <c r="E9" i="151"/>
  <c r="E9" i="150"/>
  <c r="E18" i="150"/>
  <c r="E43" i="150"/>
  <c r="E42" i="150"/>
  <c r="E41" i="150"/>
  <c r="E40" i="150"/>
  <c r="E39" i="150"/>
  <c r="E38" i="150"/>
  <c r="E37" i="150"/>
  <c r="E36" i="150"/>
  <c r="E35" i="150"/>
  <c r="E34" i="150"/>
  <c r="E33" i="150"/>
  <c r="E32" i="150"/>
  <c r="E31" i="150"/>
  <c r="E30" i="150"/>
  <c r="E29" i="150"/>
  <c r="E28" i="150"/>
  <c r="D27" i="150"/>
  <c r="E27" i="150" s="1"/>
  <c r="E26" i="150"/>
  <c r="E25" i="150"/>
  <c r="D24" i="150"/>
  <c r="E24" i="150" s="1"/>
  <c r="E23" i="150"/>
  <c r="E22" i="150"/>
  <c r="D21" i="150"/>
  <c r="E21" i="150" s="1"/>
  <c r="E20" i="150"/>
  <c r="E19" i="150"/>
  <c r="D17" i="150"/>
  <c r="E17" i="150" s="1"/>
  <c r="E16" i="150"/>
  <c r="E15" i="150"/>
  <c r="E14" i="150"/>
  <c r="E13" i="150"/>
  <c r="E12" i="150"/>
  <c r="E11" i="150"/>
  <c r="E10" i="150"/>
  <c r="E18" i="149"/>
  <c r="E10" i="149"/>
  <c r="E11" i="149"/>
  <c r="E12" i="149"/>
  <c r="E13" i="149"/>
  <c r="E14" i="149"/>
  <c r="E15" i="149"/>
  <c r="E16" i="149"/>
  <c r="E9" i="149"/>
  <c r="E43" i="149"/>
  <c r="E42" i="149"/>
  <c r="E41" i="149"/>
  <c r="E40" i="149"/>
  <c r="E39" i="149"/>
  <c r="E38" i="149"/>
  <c r="E37" i="149"/>
  <c r="E36" i="149"/>
  <c r="E35" i="149"/>
  <c r="E34" i="149"/>
  <c r="E33" i="149"/>
  <c r="E32" i="149"/>
  <c r="E31" i="149"/>
  <c r="E30" i="149"/>
  <c r="E29" i="149"/>
  <c r="E28" i="149"/>
  <c r="D27" i="149"/>
  <c r="E27" i="149" s="1"/>
  <c r="E26" i="149"/>
  <c r="E25" i="149"/>
  <c r="D24" i="149"/>
  <c r="E23" i="149"/>
  <c r="E22" i="149"/>
  <c r="D21" i="149"/>
  <c r="E21" i="149" s="1"/>
  <c r="E20" i="149"/>
  <c r="E19" i="149"/>
  <c r="D17" i="149"/>
  <c r="E17" i="149" s="1"/>
  <c r="I43" i="148"/>
  <c r="E43" i="148"/>
  <c r="I42" i="148"/>
  <c r="E42" i="148"/>
  <c r="I41" i="148"/>
  <c r="E41" i="148"/>
  <c r="I40" i="148"/>
  <c r="E40" i="148"/>
  <c r="I39" i="148"/>
  <c r="E39" i="148"/>
  <c r="I38" i="148"/>
  <c r="E38" i="148"/>
  <c r="I37" i="148"/>
  <c r="E37" i="148"/>
  <c r="I36" i="148"/>
  <c r="E36" i="148"/>
  <c r="I35" i="148"/>
  <c r="E35" i="148"/>
  <c r="I34" i="148"/>
  <c r="E34" i="148"/>
  <c r="I33" i="148"/>
  <c r="E33" i="148"/>
  <c r="I32" i="148"/>
  <c r="E32" i="148"/>
  <c r="I31" i="148"/>
  <c r="E31" i="148"/>
  <c r="I30" i="148"/>
  <c r="E30" i="148"/>
  <c r="I29" i="148"/>
  <c r="E29" i="148"/>
  <c r="I28" i="148"/>
  <c r="E28" i="148"/>
  <c r="D27" i="148"/>
  <c r="E27" i="148" s="1"/>
  <c r="I26" i="148"/>
  <c r="E26" i="148"/>
  <c r="I25" i="148"/>
  <c r="E25" i="148"/>
  <c r="D24" i="148"/>
  <c r="I24" i="148" s="1"/>
  <c r="I23" i="148"/>
  <c r="E23" i="148"/>
  <c r="I22" i="148"/>
  <c r="E22" i="148"/>
  <c r="D21" i="148"/>
  <c r="I21" i="148" s="1"/>
  <c r="I20" i="148"/>
  <c r="E20" i="148"/>
  <c r="I19" i="148"/>
  <c r="E19" i="148"/>
  <c r="I18" i="148"/>
  <c r="E18" i="148"/>
  <c r="D17" i="148"/>
  <c r="I17" i="148" s="1"/>
  <c r="I16" i="148"/>
  <c r="E16" i="148"/>
  <c r="E15" i="148"/>
  <c r="E14" i="148"/>
  <c r="I13" i="148"/>
  <c r="E13" i="148"/>
  <c r="I12" i="148"/>
  <c r="E12" i="148"/>
  <c r="I11" i="148"/>
  <c r="E11" i="148"/>
  <c r="I10" i="148"/>
  <c r="E10" i="148"/>
  <c r="I9" i="148"/>
  <c r="E9" i="148"/>
  <c r="M46" i="147"/>
  <c r="M45" i="147"/>
  <c r="M44" i="147"/>
  <c r="M43" i="147"/>
  <c r="M42" i="147"/>
  <c r="M41" i="147"/>
  <c r="M40" i="147"/>
  <c r="M39" i="147"/>
  <c r="M38" i="147"/>
  <c r="M37" i="147"/>
  <c r="M36" i="147"/>
  <c r="M35" i="147"/>
  <c r="M34" i="147"/>
  <c r="G33" i="147"/>
  <c r="E33" i="147"/>
  <c r="M32" i="147"/>
  <c r="M31" i="147"/>
  <c r="M30" i="147"/>
  <c r="M29" i="147"/>
  <c r="M28" i="147"/>
  <c r="G27" i="147"/>
  <c r="E27" i="147"/>
  <c r="M27" i="147" s="1"/>
  <c r="M26" i="147"/>
  <c r="M25" i="147"/>
  <c r="G24" i="147"/>
  <c r="E24" i="147"/>
  <c r="M24" i="147" s="1"/>
  <c r="M23" i="147"/>
  <c r="M22" i="147"/>
  <c r="M21" i="147"/>
  <c r="D20" i="147"/>
  <c r="C19" i="147" s="1"/>
  <c r="F19" i="147"/>
  <c r="F20" i="147" s="1"/>
  <c r="E12" i="147" s="1"/>
  <c r="H18" i="147"/>
  <c r="G18" i="147" s="1"/>
  <c r="H17" i="147"/>
  <c r="G17" i="147" s="1"/>
  <c r="H16" i="147"/>
  <c r="H15" i="147"/>
  <c r="G15" i="147" s="1"/>
  <c r="H14" i="147"/>
  <c r="G14" i="147" s="1"/>
  <c r="H13" i="147"/>
  <c r="G13" i="147" s="1"/>
  <c r="H12" i="147"/>
  <c r="G12" i="147" s="1"/>
  <c r="J13" i="145"/>
  <c r="H12" i="145"/>
  <c r="G12" i="145" s="1"/>
  <c r="E9" i="146"/>
  <c r="D17" i="146"/>
  <c r="I17" i="146" s="1"/>
  <c r="I43" i="146"/>
  <c r="E43" i="146"/>
  <c r="I42" i="146"/>
  <c r="E42" i="146"/>
  <c r="I41" i="146"/>
  <c r="E41" i="146"/>
  <c r="I40" i="146"/>
  <c r="E40" i="146"/>
  <c r="I39" i="146"/>
  <c r="E39" i="146"/>
  <c r="I38" i="146"/>
  <c r="E38" i="146"/>
  <c r="I37" i="146"/>
  <c r="E37" i="146"/>
  <c r="I36" i="146"/>
  <c r="E36" i="146"/>
  <c r="I35" i="146"/>
  <c r="E35" i="146"/>
  <c r="I34" i="146"/>
  <c r="E34" i="146"/>
  <c r="I33" i="146"/>
  <c r="E33" i="146"/>
  <c r="I32" i="146"/>
  <c r="E32" i="146"/>
  <c r="I31" i="146"/>
  <c r="E31" i="146"/>
  <c r="I30" i="146"/>
  <c r="E30" i="146"/>
  <c r="I29" i="146"/>
  <c r="E29" i="146"/>
  <c r="I28" i="146"/>
  <c r="E28" i="146"/>
  <c r="D27" i="146"/>
  <c r="E27" i="146" s="1"/>
  <c r="I26" i="146"/>
  <c r="E26" i="146"/>
  <c r="I25" i="146"/>
  <c r="E25" i="146"/>
  <c r="D24" i="146"/>
  <c r="I24" i="146" s="1"/>
  <c r="I23" i="146"/>
  <c r="E23" i="146"/>
  <c r="I22" i="146"/>
  <c r="E22" i="146"/>
  <c r="D21" i="146"/>
  <c r="I21" i="146" s="1"/>
  <c r="I20" i="146"/>
  <c r="E20" i="146"/>
  <c r="I19" i="146"/>
  <c r="E19" i="146"/>
  <c r="I18" i="146"/>
  <c r="E18" i="146"/>
  <c r="I16" i="146"/>
  <c r="E16" i="146"/>
  <c r="E15" i="146"/>
  <c r="E14" i="146"/>
  <c r="I13" i="146"/>
  <c r="E13" i="146"/>
  <c r="I12" i="146"/>
  <c r="E12" i="146"/>
  <c r="I11" i="146"/>
  <c r="E11" i="146"/>
  <c r="I10" i="146"/>
  <c r="E10" i="146"/>
  <c r="I9" i="146"/>
  <c r="D20" i="145"/>
  <c r="C16" i="145" s="1"/>
  <c r="W46" i="145"/>
  <c r="W45" i="145"/>
  <c r="W44" i="145"/>
  <c r="W43" i="145"/>
  <c r="W42" i="145"/>
  <c r="W41" i="145"/>
  <c r="W40" i="145"/>
  <c r="W39" i="145"/>
  <c r="W38" i="145"/>
  <c r="W37" i="145"/>
  <c r="W36" i="145"/>
  <c r="W35" i="145"/>
  <c r="W34" i="145"/>
  <c r="G33" i="145"/>
  <c r="E33" i="145"/>
  <c r="W32" i="145"/>
  <c r="W31" i="145"/>
  <c r="W30" i="145"/>
  <c r="W29" i="145"/>
  <c r="W28" i="145"/>
  <c r="G27" i="145"/>
  <c r="E27" i="145"/>
  <c r="W27" i="145" s="1"/>
  <c r="W26" i="145"/>
  <c r="W25" i="145"/>
  <c r="G24" i="145"/>
  <c r="E24" i="145"/>
  <c r="W24" i="145" s="1"/>
  <c r="W23" i="145"/>
  <c r="W22" i="145"/>
  <c r="W21" i="145"/>
  <c r="Q20" i="145"/>
  <c r="R20" i="145" s="1"/>
  <c r="O20" i="145"/>
  <c r="L20" i="145" s="1"/>
  <c r="N20" i="145"/>
  <c r="I20" i="145"/>
  <c r="J19" i="145"/>
  <c r="F19" i="145"/>
  <c r="H19" i="145" s="1"/>
  <c r="G19" i="145" s="1"/>
  <c r="P18" i="145"/>
  <c r="J18" i="145"/>
  <c r="H18" i="145"/>
  <c r="G18" i="145" s="1"/>
  <c r="R17" i="145"/>
  <c r="P17" i="145"/>
  <c r="J17" i="145"/>
  <c r="H17" i="145"/>
  <c r="G17" i="145" s="1"/>
  <c r="R16" i="145"/>
  <c r="P16" i="145"/>
  <c r="J16" i="145"/>
  <c r="H16" i="145"/>
  <c r="G16" i="145" s="1"/>
  <c r="R15" i="145"/>
  <c r="P15" i="145"/>
  <c r="J15" i="145"/>
  <c r="H15" i="145"/>
  <c r="G15" i="145" s="1"/>
  <c r="R14" i="145"/>
  <c r="P14" i="145"/>
  <c r="J14" i="145"/>
  <c r="H14" i="145"/>
  <c r="G14" i="145" s="1"/>
  <c r="R13" i="145"/>
  <c r="P13" i="145"/>
  <c r="H13" i="145"/>
  <c r="G13" i="145" s="1"/>
  <c r="R12" i="145"/>
  <c r="P12" i="145"/>
  <c r="J12" i="145"/>
  <c r="K19" i="153" l="1"/>
  <c r="V19" i="153" s="1"/>
  <c r="H20" i="153"/>
  <c r="J51" i="153" s="1"/>
  <c r="D44" i="151"/>
  <c r="E44" i="152"/>
  <c r="G44" i="152" s="1"/>
  <c r="J13" i="150"/>
  <c r="K13" i="150" s="1"/>
  <c r="J12" i="150"/>
  <c r="K12" i="150" s="1"/>
  <c r="S20" i="153"/>
  <c r="T20" i="153" s="1"/>
  <c r="U20" i="153" s="1"/>
  <c r="W20" i="153"/>
  <c r="W47" i="153" s="1"/>
  <c r="U22" i="153"/>
  <c r="W12" i="153"/>
  <c r="S12" i="153"/>
  <c r="T12" i="153" s="1"/>
  <c r="U12" i="153" s="1"/>
  <c r="W15" i="153"/>
  <c r="S15" i="153"/>
  <c r="T15" i="153" s="1"/>
  <c r="U15" i="153" s="1"/>
  <c r="W14" i="153"/>
  <c r="S14" i="153"/>
  <c r="T14" i="153" s="1"/>
  <c r="U14" i="153" s="1"/>
  <c r="W13" i="153"/>
  <c r="S13" i="153"/>
  <c r="T13" i="153" s="1"/>
  <c r="U13" i="153" s="1"/>
  <c r="W17" i="153"/>
  <c r="S17" i="153"/>
  <c r="T17" i="153" s="1"/>
  <c r="U17" i="153" s="1"/>
  <c r="S16" i="153"/>
  <c r="T16" i="153" s="1"/>
  <c r="U16" i="153" s="1"/>
  <c r="W16" i="153"/>
  <c r="D44" i="152"/>
  <c r="E17" i="151"/>
  <c r="E44" i="151" s="1"/>
  <c r="G44" i="151" s="1"/>
  <c r="F20" i="145"/>
  <c r="E18" i="145" s="1"/>
  <c r="W18" i="145" s="1"/>
  <c r="P20" i="145"/>
  <c r="N8" i="145" s="1"/>
  <c r="J13" i="149"/>
  <c r="K13" i="149" s="1"/>
  <c r="G17" i="149"/>
  <c r="J20" i="145"/>
  <c r="H20" i="145"/>
  <c r="AA20" i="145" s="1"/>
  <c r="J12" i="149"/>
  <c r="K12" i="149" s="1"/>
  <c r="K16" i="145"/>
  <c r="V16" i="145" s="1"/>
  <c r="E44" i="150"/>
  <c r="G44" i="150" s="1"/>
  <c r="D44" i="150"/>
  <c r="E24" i="149"/>
  <c r="E44" i="149" s="1"/>
  <c r="G44" i="149" s="1"/>
  <c r="D44" i="149"/>
  <c r="C12" i="147"/>
  <c r="C13" i="147"/>
  <c r="C18" i="147"/>
  <c r="C15" i="147"/>
  <c r="C14" i="147"/>
  <c r="C16" i="147"/>
  <c r="C17" i="147"/>
  <c r="C20" i="147"/>
  <c r="G16" i="147"/>
  <c r="I44" i="148"/>
  <c r="E17" i="148"/>
  <c r="E24" i="148"/>
  <c r="D44" i="148"/>
  <c r="E21" i="148"/>
  <c r="E18" i="147"/>
  <c r="E14" i="147"/>
  <c r="E20" i="147"/>
  <c r="E47" i="147" s="1"/>
  <c r="E19" i="147"/>
  <c r="E15" i="147"/>
  <c r="E16" i="147"/>
  <c r="E17" i="147"/>
  <c r="E13" i="147"/>
  <c r="F47" i="147"/>
  <c r="H19" i="147"/>
  <c r="H20" i="147" s="1"/>
  <c r="M13" i="147" s="1"/>
  <c r="I44" i="146"/>
  <c r="E17" i="146"/>
  <c r="Q12" i="146" s="1"/>
  <c r="E24" i="146"/>
  <c r="D44" i="146"/>
  <c r="E21" i="146"/>
  <c r="K18" i="145"/>
  <c r="V18" i="145" s="1"/>
  <c r="K15" i="145"/>
  <c r="V15" i="145" s="1"/>
  <c r="K14" i="145"/>
  <c r="V14" i="145" s="1"/>
  <c r="K13" i="145"/>
  <c r="V13" i="145" s="1"/>
  <c r="K19" i="145"/>
  <c r="V19" i="145" s="1"/>
  <c r="K17" i="145"/>
  <c r="V17" i="145" s="1"/>
  <c r="C14" i="145"/>
  <c r="G20" i="145"/>
  <c r="G47" i="145" s="1"/>
  <c r="C18" i="145"/>
  <c r="C12" i="145"/>
  <c r="C19" i="145"/>
  <c r="C15" i="145"/>
  <c r="C20" i="145"/>
  <c r="C13" i="145"/>
  <c r="C17" i="145"/>
  <c r="K12" i="145"/>
  <c r="V12" i="145" s="1"/>
  <c r="E10" i="142"/>
  <c r="E11" i="142"/>
  <c r="E12" i="142"/>
  <c r="E13" i="142"/>
  <c r="E14" i="142"/>
  <c r="E15" i="142"/>
  <c r="E16" i="142"/>
  <c r="E9" i="142"/>
  <c r="H47" i="145" l="1"/>
  <c r="AA20" i="153"/>
  <c r="H47" i="153"/>
  <c r="J52" i="153"/>
  <c r="J13" i="151"/>
  <c r="K13" i="151" s="1"/>
  <c r="J12" i="151"/>
  <c r="K12" i="151" s="1"/>
  <c r="L16" i="145"/>
  <c r="M16" i="145" s="1"/>
  <c r="E12" i="145"/>
  <c r="W12" i="145" s="1"/>
  <c r="F47" i="145"/>
  <c r="E19" i="145"/>
  <c r="W19" i="145" s="1"/>
  <c r="L12" i="145"/>
  <c r="M12" i="145" s="1"/>
  <c r="L17" i="145"/>
  <c r="M17" i="145" s="1"/>
  <c r="E15" i="145"/>
  <c r="S15" i="145" s="1"/>
  <c r="T15" i="145" s="1"/>
  <c r="U15" i="145" s="1"/>
  <c r="E16" i="145"/>
  <c r="W16" i="145" s="1"/>
  <c r="E13" i="145"/>
  <c r="S13" i="145" s="1"/>
  <c r="T13" i="145" s="1"/>
  <c r="U13" i="145" s="1"/>
  <c r="L13" i="145"/>
  <c r="M13" i="145" s="1"/>
  <c r="E14" i="145"/>
  <c r="W14" i="145" s="1"/>
  <c r="L14" i="145"/>
  <c r="M14" i="145" s="1"/>
  <c r="L18" i="145"/>
  <c r="M18" i="145" s="1"/>
  <c r="E20" i="145"/>
  <c r="U22" i="145" s="1"/>
  <c r="E17" i="145"/>
  <c r="S17" i="145" s="1"/>
  <c r="T17" i="145" s="1"/>
  <c r="U17" i="145" s="1"/>
  <c r="L15" i="145"/>
  <c r="M15" i="145" s="1"/>
  <c r="L19" i="145"/>
  <c r="M19" i="145" s="1"/>
  <c r="E44" i="148"/>
  <c r="M12" i="147"/>
  <c r="J51" i="145"/>
  <c r="J52" i="145"/>
  <c r="Q12" i="148"/>
  <c r="R12" i="148" s="1"/>
  <c r="Q13" i="148"/>
  <c r="R13" i="148" s="1"/>
  <c r="N11" i="147"/>
  <c r="G19" i="147"/>
  <c r="G20" i="147" s="1"/>
  <c r="G47" i="147" s="1"/>
  <c r="Q20" i="147"/>
  <c r="H47" i="147"/>
  <c r="M47" i="147"/>
  <c r="K22" i="147"/>
  <c r="Q13" i="146"/>
  <c r="R13" i="146" s="1"/>
  <c r="R12" i="146"/>
  <c r="E44" i="146"/>
  <c r="W46" i="143"/>
  <c r="W45" i="143"/>
  <c r="W44" i="143"/>
  <c r="W43" i="143"/>
  <c r="W42" i="143"/>
  <c r="W41" i="143"/>
  <c r="W40" i="143"/>
  <c r="W39" i="143"/>
  <c r="W38" i="143"/>
  <c r="W37" i="143"/>
  <c r="W36" i="143"/>
  <c r="W35" i="143"/>
  <c r="W34" i="143"/>
  <c r="G33" i="143"/>
  <c r="E33" i="143"/>
  <c r="W32" i="143"/>
  <c r="W31" i="143"/>
  <c r="W30" i="143"/>
  <c r="W29" i="143"/>
  <c r="W28" i="143"/>
  <c r="G27" i="143"/>
  <c r="E27" i="143"/>
  <c r="W27" i="143" s="1"/>
  <c r="W26" i="143"/>
  <c r="W25" i="143"/>
  <c r="G24" i="143"/>
  <c r="E24" i="143"/>
  <c r="W24" i="143" s="1"/>
  <c r="W23" i="143"/>
  <c r="W22" i="143"/>
  <c r="W21" i="143"/>
  <c r="Q20" i="143"/>
  <c r="R20" i="143" s="1"/>
  <c r="O20" i="143"/>
  <c r="N20" i="143"/>
  <c r="I20" i="143"/>
  <c r="D20" i="143"/>
  <c r="C12" i="143" s="1"/>
  <c r="J19" i="143"/>
  <c r="F19" i="143"/>
  <c r="H19" i="143" s="1"/>
  <c r="G19" i="143" s="1"/>
  <c r="P18" i="143"/>
  <c r="J18" i="143"/>
  <c r="F18" i="143"/>
  <c r="H18" i="143" s="1"/>
  <c r="G18" i="143" s="1"/>
  <c r="R17" i="143"/>
  <c r="P17" i="143"/>
  <c r="J17" i="143"/>
  <c r="F17" i="143"/>
  <c r="H17" i="143" s="1"/>
  <c r="G17" i="143" s="1"/>
  <c r="R16" i="143"/>
  <c r="P16" i="143"/>
  <c r="J16" i="143"/>
  <c r="F16" i="143"/>
  <c r="H16" i="143" s="1"/>
  <c r="G16" i="143" s="1"/>
  <c r="R15" i="143"/>
  <c r="P15" i="143"/>
  <c r="J15" i="143"/>
  <c r="F15" i="143"/>
  <c r="H15" i="143" s="1"/>
  <c r="G15" i="143" s="1"/>
  <c r="R14" i="143"/>
  <c r="P14" i="143"/>
  <c r="J14" i="143"/>
  <c r="F14" i="143"/>
  <c r="H14" i="143" s="1"/>
  <c r="G14" i="143" s="1"/>
  <c r="R13" i="143"/>
  <c r="P13" i="143"/>
  <c r="J13" i="143"/>
  <c r="F13" i="143"/>
  <c r="H13" i="143" s="1"/>
  <c r="G13" i="143" s="1"/>
  <c r="R12" i="143"/>
  <c r="P12" i="143"/>
  <c r="J12" i="143"/>
  <c r="F12" i="143"/>
  <c r="H12" i="143" s="1"/>
  <c r="I43" i="142"/>
  <c r="E43" i="142"/>
  <c r="I42" i="142"/>
  <c r="E42" i="142"/>
  <c r="I41" i="142"/>
  <c r="E41" i="142"/>
  <c r="I40" i="142"/>
  <c r="E40" i="142"/>
  <c r="I39" i="142"/>
  <c r="E39" i="142"/>
  <c r="I38" i="142"/>
  <c r="E38" i="142"/>
  <c r="I37" i="142"/>
  <c r="E37" i="142"/>
  <c r="I36" i="142"/>
  <c r="E36" i="142"/>
  <c r="I35" i="142"/>
  <c r="E35" i="142"/>
  <c r="I34" i="142"/>
  <c r="E34" i="142"/>
  <c r="I33" i="142"/>
  <c r="E33" i="142"/>
  <c r="I32" i="142"/>
  <c r="E32" i="142"/>
  <c r="I31" i="142"/>
  <c r="E31" i="142"/>
  <c r="I30" i="142"/>
  <c r="E30" i="142"/>
  <c r="I29" i="142"/>
  <c r="E29" i="142"/>
  <c r="I28" i="142"/>
  <c r="E28" i="142"/>
  <c r="D27" i="142"/>
  <c r="E27" i="142" s="1"/>
  <c r="I26" i="142"/>
  <c r="E26" i="142"/>
  <c r="I25" i="142"/>
  <c r="E25" i="142"/>
  <c r="D24" i="142"/>
  <c r="E24" i="142" s="1"/>
  <c r="I23" i="142"/>
  <c r="E23" i="142"/>
  <c r="I22" i="142"/>
  <c r="E22" i="142"/>
  <c r="D21" i="142"/>
  <c r="I21" i="142" s="1"/>
  <c r="I20" i="142"/>
  <c r="E20" i="142"/>
  <c r="I19" i="142"/>
  <c r="E19" i="142"/>
  <c r="I18" i="142"/>
  <c r="E18" i="142"/>
  <c r="D17" i="142"/>
  <c r="E17" i="142" s="1"/>
  <c r="I16" i="142"/>
  <c r="I13" i="142"/>
  <c r="I12" i="142"/>
  <c r="I11" i="142"/>
  <c r="I10" i="142"/>
  <c r="I9" i="142"/>
  <c r="E9" i="139"/>
  <c r="D20" i="141"/>
  <c r="C20" i="141" s="1"/>
  <c r="F19" i="141"/>
  <c r="H19" i="141" s="1"/>
  <c r="G19" i="141" s="1"/>
  <c r="F18" i="141"/>
  <c r="H18" i="141" s="1"/>
  <c r="G18" i="141" s="1"/>
  <c r="F17" i="141"/>
  <c r="F16" i="141"/>
  <c r="F15" i="141"/>
  <c r="H15" i="141" s="1"/>
  <c r="G15" i="141" s="1"/>
  <c r="F14" i="141"/>
  <c r="H14" i="141" s="1"/>
  <c r="G14" i="141" s="1"/>
  <c r="F13" i="141"/>
  <c r="F12" i="141"/>
  <c r="H12" i="141" s="1"/>
  <c r="W46" i="141"/>
  <c r="W45" i="141"/>
  <c r="W44" i="141"/>
  <c r="W43" i="141"/>
  <c r="W42" i="141"/>
  <c r="W41" i="141"/>
  <c r="W40" i="141"/>
  <c r="W39" i="141"/>
  <c r="W38" i="141"/>
  <c r="W37" i="141"/>
  <c r="W36" i="141"/>
  <c r="W35" i="141"/>
  <c r="W34" i="141"/>
  <c r="G33" i="141"/>
  <c r="E33" i="141"/>
  <c r="W32" i="141"/>
  <c r="W31" i="141"/>
  <c r="W30" i="141"/>
  <c r="W29" i="141"/>
  <c r="W28" i="141"/>
  <c r="G27" i="141"/>
  <c r="E27" i="141"/>
  <c r="W27" i="141" s="1"/>
  <c r="W26" i="141"/>
  <c r="W25" i="141"/>
  <c r="G24" i="141"/>
  <c r="E24" i="141"/>
  <c r="W24" i="141" s="1"/>
  <c r="W23" i="141"/>
  <c r="W22" i="141"/>
  <c r="W21" i="141"/>
  <c r="Q20" i="141"/>
  <c r="R20" i="141" s="1"/>
  <c r="O20" i="141"/>
  <c r="L20" i="141" s="1"/>
  <c r="N20" i="141"/>
  <c r="I20" i="141"/>
  <c r="J19" i="141"/>
  <c r="P18" i="141"/>
  <c r="J18" i="141"/>
  <c r="R17" i="141"/>
  <c r="P17" i="141"/>
  <c r="J17" i="141"/>
  <c r="R16" i="141"/>
  <c r="P16" i="141"/>
  <c r="J16" i="141"/>
  <c r="R15" i="141"/>
  <c r="P15" i="141"/>
  <c r="J15" i="141"/>
  <c r="R14" i="141"/>
  <c r="P14" i="141"/>
  <c r="J14" i="141"/>
  <c r="R13" i="141"/>
  <c r="P13" i="141"/>
  <c r="J13" i="141"/>
  <c r="R12" i="141"/>
  <c r="P12" i="141"/>
  <c r="J12" i="141"/>
  <c r="D20" i="140"/>
  <c r="I20" i="140"/>
  <c r="D17" i="139"/>
  <c r="J12" i="140"/>
  <c r="S12" i="145" l="1"/>
  <c r="T12" i="145" s="1"/>
  <c r="U12" i="145" s="1"/>
  <c r="E47" i="145"/>
  <c r="W20" i="145"/>
  <c r="W47" i="145" s="1"/>
  <c r="S20" i="145"/>
  <c r="T20" i="145" s="1"/>
  <c r="U20" i="145" s="1"/>
  <c r="W15" i="145"/>
  <c r="W17" i="145"/>
  <c r="S14" i="145"/>
  <c r="T14" i="145" s="1"/>
  <c r="U14" i="145" s="1"/>
  <c r="P20" i="141"/>
  <c r="N8" i="141" s="1"/>
  <c r="C13" i="143"/>
  <c r="C14" i="143"/>
  <c r="C17" i="143"/>
  <c r="C18" i="143"/>
  <c r="S16" i="145"/>
  <c r="T16" i="145" s="1"/>
  <c r="U16" i="145" s="1"/>
  <c r="K14" i="143"/>
  <c r="V14" i="143" s="1"/>
  <c r="W13" i="145"/>
  <c r="C19" i="143"/>
  <c r="C20" i="143"/>
  <c r="P20" i="143"/>
  <c r="N8" i="143" s="1"/>
  <c r="F20" i="141"/>
  <c r="E12" i="141" s="1"/>
  <c r="Q13" i="142"/>
  <c r="R13" i="142" s="1"/>
  <c r="Q12" i="142"/>
  <c r="R12" i="142" s="1"/>
  <c r="C15" i="143"/>
  <c r="N13" i="147"/>
  <c r="N12" i="147"/>
  <c r="C16" i="143"/>
  <c r="K18" i="143"/>
  <c r="V18" i="143" s="1"/>
  <c r="K19" i="143"/>
  <c r="V19" i="143" s="1"/>
  <c r="J20" i="143"/>
  <c r="H20" i="143"/>
  <c r="H47" i="143" s="1"/>
  <c r="G12" i="143"/>
  <c r="G20" i="143" s="1"/>
  <c r="G47" i="143" s="1"/>
  <c r="K15" i="143"/>
  <c r="V15" i="143" s="1"/>
  <c r="K16" i="143"/>
  <c r="V16" i="143" s="1"/>
  <c r="K13" i="143"/>
  <c r="V13" i="143" s="1"/>
  <c r="K17" i="143"/>
  <c r="V17" i="143" s="1"/>
  <c r="L20" i="143"/>
  <c r="K12" i="143"/>
  <c r="V12" i="143" s="1"/>
  <c r="F20" i="143"/>
  <c r="L14" i="143" s="1"/>
  <c r="M14" i="143" s="1"/>
  <c r="I17" i="142"/>
  <c r="D44" i="142"/>
  <c r="E21" i="142"/>
  <c r="E44" i="142" s="1"/>
  <c r="I24" i="142"/>
  <c r="C12" i="141"/>
  <c r="C18" i="141"/>
  <c r="C15" i="141"/>
  <c r="K19" i="141"/>
  <c r="C13" i="141"/>
  <c r="K14" i="141"/>
  <c r="C19" i="141"/>
  <c r="C14" i="141"/>
  <c r="C16" i="141"/>
  <c r="C17" i="141"/>
  <c r="K18" i="141"/>
  <c r="J20" i="141"/>
  <c r="H13" i="141"/>
  <c r="K15" i="141"/>
  <c r="H17" i="141"/>
  <c r="G12" i="141"/>
  <c r="H16" i="141"/>
  <c r="C12" i="140"/>
  <c r="J13" i="140"/>
  <c r="J14" i="140"/>
  <c r="J15" i="140"/>
  <c r="J16" i="140"/>
  <c r="J17" i="140"/>
  <c r="J18" i="140"/>
  <c r="J19" i="140"/>
  <c r="P12" i="140"/>
  <c r="F12" i="140"/>
  <c r="W46" i="140"/>
  <c r="W45" i="140"/>
  <c r="W44" i="140"/>
  <c r="W43" i="140"/>
  <c r="W42" i="140"/>
  <c r="W41" i="140"/>
  <c r="W40" i="140"/>
  <c r="W39" i="140"/>
  <c r="W38" i="140"/>
  <c r="W37" i="140"/>
  <c r="W36" i="140"/>
  <c r="W35" i="140"/>
  <c r="W34" i="140"/>
  <c r="G33" i="140"/>
  <c r="E33" i="140"/>
  <c r="W32" i="140"/>
  <c r="W31" i="140"/>
  <c r="W30" i="140"/>
  <c r="W29" i="140"/>
  <c r="W28" i="140"/>
  <c r="G27" i="140"/>
  <c r="E27" i="140"/>
  <c r="W27" i="140" s="1"/>
  <c r="W26" i="140"/>
  <c r="W25" i="140"/>
  <c r="G24" i="140"/>
  <c r="E24" i="140"/>
  <c r="W24" i="140" s="1"/>
  <c r="W23" i="140"/>
  <c r="W22" i="140"/>
  <c r="W21" i="140"/>
  <c r="Q20" i="140"/>
  <c r="R20" i="140" s="1"/>
  <c r="O20" i="140"/>
  <c r="L20" i="140" s="1"/>
  <c r="N20" i="140"/>
  <c r="F19" i="140"/>
  <c r="H19" i="140" s="1"/>
  <c r="G19" i="140" s="1"/>
  <c r="P18" i="140"/>
  <c r="F18" i="140"/>
  <c r="H18" i="140" s="1"/>
  <c r="G18" i="140" s="1"/>
  <c r="R17" i="140"/>
  <c r="P17" i="140"/>
  <c r="F17" i="140"/>
  <c r="H17" i="140" s="1"/>
  <c r="G17" i="140" s="1"/>
  <c r="R16" i="140"/>
  <c r="P16" i="140"/>
  <c r="F16" i="140"/>
  <c r="H16" i="140" s="1"/>
  <c r="G16" i="140" s="1"/>
  <c r="R15" i="140"/>
  <c r="P15" i="140"/>
  <c r="F15" i="140"/>
  <c r="H15" i="140" s="1"/>
  <c r="G15" i="140" s="1"/>
  <c r="R14" i="140"/>
  <c r="P14" i="140"/>
  <c r="F14" i="140"/>
  <c r="H14" i="140" s="1"/>
  <c r="G14" i="140" s="1"/>
  <c r="R13" i="140"/>
  <c r="P13" i="140"/>
  <c r="F13" i="140"/>
  <c r="H13" i="140" s="1"/>
  <c r="G13" i="140" s="1"/>
  <c r="R12" i="140"/>
  <c r="E17" i="139"/>
  <c r="E10" i="139"/>
  <c r="E11" i="139"/>
  <c r="E12" i="139"/>
  <c r="E13" i="139"/>
  <c r="E14" i="139"/>
  <c r="E15" i="139"/>
  <c r="E16" i="139"/>
  <c r="E14" i="138"/>
  <c r="K14" i="139"/>
  <c r="K15" i="139"/>
  <c r="I10" i="139"/>
  <c r="I11" i="139"/>
  <c r="I12" i="139"/>
  <c r="I13" i="139"/>
  <c r="I14" i="139"/>
  <c r="I15" i="139"/>
  <c r="L15" i="139" l="1"/>
  <c r="L14" i="139"/>
  <c r="K16" i="140"/>
  <c r="V16" i="140" s="1"/>
  <c r="K19" i="140"/>
  <c r="V19" i="140" s="1"/>
  <c r="K15" i="140"/>
  <c r="V15" i="140" s="1"/>
  <c r="K18" i="140"/>
  <c r="V18" i="140" s="1"/>
  <c r="K14" i="140"/>
  <c r="V14" i="140" s="1"/>
  <c r="H12" i="140"/>
  <c r="K12" i="140" s="1"/>
  <c r="V12" i="140" s="1"/>
  <c r="F20" i="140"/>
  <c r="E20" i="140" s="1"/>
  <c r="K17" i="140"/>
  <c r="V17" i="140" s="1"/>
  <c r="K13" i="140"/>
  <c r="V13" i="140" s="1"/>
  <c r="I44" i="142"/>
  <c r="F47" i="143"/>
  <c r="E20" i="143"/>
  <c r="E19" i="143"/>
  <c r="W19" i="143" s="1"/>
  <c r="E18" i="143"/>
  <c r="W18" i="143" s="1"/>
  <c r="E17" i="143"/>
  <c r="E16" i="143"/>
  <c r="E15" i="143"/>
  <c r="E14" i="143"/>
  <c r="E13" i="143"/>
  <c r="E12" i="143"/>
  <c r="L18" i="143"/>
  <c r="M18" i="143" s="1"/>
  <c r="L17" i="143"/>
  <c r="M17" i="143" s="1"/>
  <c r="L13" i="143"/>
  <c r="M13" i="143" s="1"/>
  <c r="L16" i="143"/>
  <c r="M16" i="143" s="1"/>
  <c r="L12" i="143"/>
  <c r="M12" i="143" s="1"/>
  <c r="L19" i="143"/>
  <c r="M19" i="143" s="1"/>
  <c r="L15" i="143"/>
  <c r="M15" i="143" s="1"/>
  <c r="L12" i="141"/>
  <c r="M12" i="141" s="1"/>
  <c r="E16" i="141"/>
  <c r="S16" i="141" s="1"/>
  <c r="T16" i="141" s="1"/>
  <c r="U16" i="141" s="1"/>
  <c r="L15" i="141"/>
  <c r="M15" i="141" s="1"/>
  <c r="W12" i="141"/>
  <c r="S12" i="141"/>
  <c r="T12" i="141" s="1"/>
  <c r="U12" i="141" s="1"/>
  <c r="K17" i="141"/>
  <c r="G17" i="141"/>
  <c r="L16" i="141"/>
  <c r="M16" i="141" s="1"/>
  <c r="L19" i="141"/>
  <c r="M19" i="141" s="1"/>
  <c r="K16" i="141"/>
  <c r="G16" i="141"/>
  <c r="E17" i="141"/>
  <c r="E13" i="141"/>
  <c r="E20" i="141"/>
  <c r="L18" i="141"/>
  <c r="M18" i="141" s="1"/>
  <c r="L14" i="141"/>
  <c r="M14" i="141" s="1"/>
  <c r="F47" i="141"/>
  <c r="E19" i="141"/>
  <c r="W19" i="141" s="1"/>
  <c r="L17" i="141"/>
  <c r="M17" i="141" s="1"/>
  <c r="E18" i="141"/>
  <c r="W18" i="141" s="1"/>
  <c r="E14" i="141"/>
  <c r="E15" i="141"/>
  <c r="L13" i="141"/>
  <c r="M13" i="141" s="1"/>
  <c r="H20" i="141"/>
  <c r="H47" i="141" s="1"/>
  <c r="K12" i="141"/>
  <c r="K13" i="141"/>
  <c r="G13" i="141"/>
  <c r="J20" i="140"/>
  <c r="C20" i="140"/>
  <c r="C18" i="140"/>
  <c r="C14" i="140"/>
  <c r="C17" i="140"/>
  <c r="C13" i="140"/>
  <c r="C16" i="140"/>
  <c r="C19" i="140"/>
  <c r="C15" i="140"/>
  <c r="P20" i="140"/>
  <c r="N8" i="140" s="1"/>
  <c r="D27" i="139"/>
  <c r="D24" i="139"/>
  <c r="N24" i="139" s="1"/>
  <c r="N43" i="139"/>
  <c r="E43" i="139"/>
  <c r="N42" i="139"/>
  <c r="E42" i="139"/>
  <c r="N41" i="139"/>
  <c r="E41" i="139"/>
  <c r="N39" i="139"/>
  <c r="E39" i="139"/>
  <c r="N38" i="139"/>
  <c r="E38" i="139"/>
  <c r="N40" i="139"/>
  <c r="E40" i="139"/>
  <c r="N37" i="139"/>
  <c r="E37" i="139"/>
  <c r="N36" i="139"/>
  <c r="E36" i="139"/>
  <c r="N35" i="139"/>
  <c r="E35" i="139"/>
  <c r="N34" i="139"/>
  <c r="E34" i="139"/>
  <c r="N33" i="139"/>
  <c r="E33" i="139"/>
  <c r="N32" i="139"/>
  <c r="E32" i="139"/>
  <c r="N31" i="139"/>
  <c r="E31" i="139"/>
  <c r="N26" i="139"/>
  <c r="E26" i="139"/>
  <c r="N25" i="139"/>
  <c r="E25" i="139"/>
  <c r="N30" i="139"/>
  <c r="E30" i="139"/>
  <c r="N29" i="139"/>
  <c r="E29" i="139"/>
  <c r="N28" i="139"/>
  <c r="E28" i="139"/>
  <c r="N23" i="139"/>
  <c r="E23" i="139"/>
  <c r="N22" i="139"/>
  <c r="E22" i="139"/>
  <c r="D21" i="139"/>
  <c r="N20" i="139"/>
  <c r="E20" i="139"/>
  <c r="N19" i="139"/>
  <c r="L19" i="139"/>
  <c r="E19" i="139"/>
  <c r="N18" i="139"/>
  <c r="E18" i="139"/>
  <c r="N17" i="139"/>
  <c r="H17" i="139"/>
  <c r="N16" i="139"/>
  <c r="J16" i="139"/>
  <c r="K16" i="139" s="1"/>
  <c r="I16" i="139"/>
  <c r="N13" i="139"/>
  <c r="J13" i="139"/>
  <c r="K13" i="139" s="1"/>
  <c r="L13" i="139" s="1"/>
  <c r="N12" i="139"/>
  <c r="J12" i="139"/>
  <c r="K12" i="139" s="1"/>
  <c r="L12" i="139" s="1"/>
  <c r="N11" i="139"/>
  <c r="J11" i="139"/>
  <c r="K11" i="139" s="1"/>
  <c r="L11" i="139" s="1"/>
  <c r="N10" i="139"/>
  <c r="J10" i="139"/>
  <c r="K10" i="139" s="1"/>
  <c r="L10" i="139" s="1"/>
  <c r="N9" i="139"/>
  <c r="J9" i="139"/>
  <c r="K9" i="139" s="1"/>
  <c r="I9" i="139"/>
  <c r="L16" i="138"/>
  <c r="W16" i="141" l="1"/>
  <c r="N21" i="139"/>
  <c r="N44" i="139" s="1"/>
  <c r="D44" i="139"/>
  <c r="W14" i="143"/>
  <c r="S14" i="143"/>
  <c r="T14" i="143" s="1"/>
  <c r="U14" i="143" s="1"/>
  <c r="W15" i="143"/>
  <c r="S15" i="143"/>
  <c r="T15" i="143" s="1"/>
  <c r="U15" i="143" s="1"/>
  <c r="W12" i="143"/>
  <c r="S12" i="143"/>
  <c r="T12" i="143" s="1"/>
  <c r="U12" i="143" s="1"/>
  <c r="W16" i="143"/>
  <c r="S16" i="143"/>
  <c r="T16" i="143" s="1"/>
  <c r="U16" i="143" s="1"/>
  <c r="W20" i="143"/>
  <c r="W47" i="143" s="1"/>
  <c r="U22" i="143"/>
  <c r="E47" i="143"/>
  <c r="S20" i="143"/>
  <c r="T20" i="143" s="1"/>
  <c r="U20" i="143" s="1"/>
  <c r="W13" i="143"/>
  <c r="S13" i="143"/>
  <c r="T13" i="143" s="1"/>
  <c r="U13" i="143" s="1"/>
  <c r="W17" i="143"/>
  <c r="S17" i="143"/>
  <c r="T17" i="143" s="1"/>
  <c r="U17" i="143" s="1"/>
  <c r="G20" i="141"/>
  <c r="G47" i="141" s="1"/>
  <c r="S14" i="141"/>
  <c r="T14" i="141" s="1"/>
  <c r="U14" i="141" s="1"/>
  <c r="W14" i="141"/>
  <c r="W13" i="141"/>
  <c r="S13" i="141"/>
  <c r="T13" i="141" s="1"/>
  <c r="U13" i="141" s="1"/>
  <c r="S15" i="141"/>
  <c r="T15" i="141" s="1"/>
  <c r="U15" i="141" s="1"/>
  <c r="W15" i="141"/>
  <c r="S20" i="141"/>
  <c r="T20" i="141" s="1"/>
  <c r="U20" i="141" s="1"/>
  <c r="W20" i="141"/>
  <c r="W47" i="141" s="1"/>
  <c r="U22" i="141"/>
  <c r="E47" i="141"/>
  <c r="W17" i="141"/>
  <c r="S17" i="141"/>
  <c r="T17" i="141" s="1"/>
  <c r="U17" i="141" s="1"/>
  <c r="E12" i="140"/>
  <c r="S12" i="140" s="1"/>
  <c r="T12" i="140" s="1"/>
  <c r="U12" i="140" s="1"/>
  <c r="E14" i="140"/>
  <c r="W14" i="140" s="1"/>
  <c r="G12" i="140"/>
  <c r="G20" i="140" s="1"/>
  <c r="G47" i="140" s="1"/>
  <c r="H20" i="140"/>
  <c r="H47" i="140" s="1"/>
  <c r="L9" i="139"/>
  <c r="E17" i="140"/>
  <c r="S17" i="140" s="1"/>
  <c r="T17" i="140" s="1"/>
  <c r="U17" i="140" s="1"/>
  <c r="L13" i="140"/>
  <c r="M13" i="140" s="1"/>
  <c r="L15" i="140"/>
  <c r="M15" i="140" s="1"/>
  <c r="L12" i="140"/>
  <c r="M12" i="140" s="1"/>
  <c r="E18" i="140"/>
  <c r="W18" i="140" s="1"/>
  <c r="L16" i="140"/>
  <c r="M16" i="140" s="1"/>
  <c r="L17" i="140"/>
  <c r="M17" i="140" s="1"/>
  <c r="L18" i="140"/>
  <c r="M18" i="140" s="1"/>
  <c r="F47" i="140"/>
  <c r="E13" i="140"/>
  <c r="S13" i="140" s="1"/>
  <c r="T13" i="140" s="1"/>
  <c r="U13" i="140" s="1"/>
  <c r="E19" i="140"/>
  <c r="E15" i="140"/>
  <c r="S15" i="140" s="1"/>
  <c r="T15" i="140" s="1"/>
  <c r="U15" i="140" s="1"/>
  <c r="L19" i="140"/>
  <c r="M19" i="140" s="1"/>
  <c r="E16" i="140"/>
  <c r="S16" i="140" s="1"/>
  <c r="T16" i="140" s="1"/>
  <c r="U16" i="140" s="1"/>
  <c r="L14" i="140"/>
  <c r="M14" i="140" s="1"/>
  <c r="J17" i="139"/>
  <c r="K17" i="139" s="1"/>
  <c r="L16" i="139"/>
  <c r="I17" i="139"/>
  <c r="E24" i="139"/>
  <c r="E21" i="139"/>
  <c r="E27" i="139"/>
  <c r="D27" i="138"/>
  <c r="E27" i="138" s="1"/>
  <c r="F34" i="136"/>
  <c r="E24" i="138"/>
  <c r="D21" i="138"/>
  <c r="E21" i="138" s="1"/>
  <c r="N26" i="138"/>
  <c r="E26" i="138"/>
  <c r="N40" i="138"/>
  <c r="E40" i="138"/>
  <c r="N39" i="138"/>
  <c r="E39" i="138"/>
  <c r="N38" i="138"/>
  <c r="E38" i="138"/>
  <c r="N37" i="138"/>
  <c r="E37" i="138"/>
  <c r="N36" i="138"/>
  <c r="E36" i="138"/>
  <c r="N35" i="138"/>
  <c r="E35" i="138"/>
  <c r="N34" i="138"/>
  <c r="E34" i="138"/>
  <c r="N33" i="138"/>
  <c r="E33" i="138"/>
  <c r="N32" i="138"/>
  <c r="E32" i="138"/>
  <c r="N31" i="138"/>
  <c r="E31" i="138"/>
  <c r="N30" i="138"/>
  <c r="E30" i="138"/>
  <c r="N29" i="138"/>
  <c r="E29" i="138"/>
  <c r="N28" i="138"/>
  <c r="E28" i="138"/>
  <c r="N25" i="138"/>
  <c r="E25" i="138"/>
  <c r="N23" i="138"/>
  <c r="E23" i="138"/>
  <c r="N22" i="138"/>
  <c r="E22" i="138"/>
  <c r="N20" i="138"/>
  <c r="E20" i="138"/>
  <c r="N19" i="138"/>
  <c r="E19" i="138"/>
  <c r="D18" i="138"/>
  <c r="N18" i="138" s="1"/>
  <c r="N17" i="138"/>
  <c r="E17" i="138"/>
  <c r="N16" i="138"/>
  <c r="E16" i="138"/>
  <c r="N15" i="138"/>
  <c r="E15" i="138"/>
  <c r="N14" i="138"/>
  <c r="H14" i="138"/>
  <c r="I14" i="138" s="1"/>
  <c r="N13" i="138"/>
  <c r="J13" i="138"/>
  <c r="K13" i="138" s="1"/>
  <c r="I13" i="138"/>
  <c r="E13" i="138"/>
  <c r="N12" i="138"/>
  <c r="J12" i="138"/>
  <c r="K12" i="138" s="1"/>
  <c r="I12" i="138"/>
  <c r="E12" i="138"/>
  <c r="N11" i="138"/>
  <c r="J11" i="138"/>
  <c r="K11" i="138" s="1"/>
  <c r="I11" i="138"/>
  <c r="E11" i="138"/>
  <c r="N10" i="138"/>
  <c r="J10" i="138"/>
  <c r="K10" i="138" s="1"/>
  <c r="I10" i="138"/>
  <c r="E10" i="138"/>
  <c r="N9" i="138"/>
  <c r="J9" i="138"/>
  <c r="K9" i="138" s="1"/>
  <c r="I9" i="138"/>
  <c r="E9" i="138"/>
  <c r="N8" i="138"/>
  <c r="J8" i="138"/>
  <c r="K8" i="138" s="1"/>
  <c r="I8" i="138"/>
  <c r="E8" i="138"/>
  <c r="E14" i="137"/>
  <c r="E8" i="137"/>
  <c r="N40" i="137"/>
  <c r="E40" i="137"/>
  <c r="N39" i="137"/>
  <c r="E39" i="137"/>
  <c r="N38" i="137"/>
  <c r="E38" i="137"/>
  <c r="N37" i="137"/>
  <c r="E37" i="137"/>
  <c r="N36" i="137"/>
  <c r="E36" i="137"/>
  <c r="N35" i="137"/>
  <c r="E35" i="137"/>
  <c r="N34" i="137"/>
  <c r="E34" i="137"/>
  <c r="N33" i="137"/>
  <c r="E33" i="137"/>
  <c r="N32" i="137"/>
  <c r="E32" i="137"/>
  <c r="N31" i="137"/>
  <c r="E31" i="137"/>
  <c r="N30" i="137"/>
  <c r="E30" i="137"/>
  <c r="N29" i="137"/>
  <c r="E29" i="137"/>
  <c r="N28" i="137"/>
  <c r="E28" i="137"/>
  <c r="N27" i="137"/>
  <c r="E27" i="137"/>
  <c r="D26" i="137"/>
  <c r="E26" i="137" s="1"/>
  <c r="N25" i="137"/>
  <c r="E25" i="137"/>
  <c r="N24" i="137"/>
  <c r="E24" i="137"/>
  <c r="N23" i="137"/>
  <c r="E23" i="137"/>
  <c r="N22" i="137"/>
  <c r="E22" i="137"/>
  <c r="D21" i="137"/>
  <c r="N21" i="137" s="1"/>
  <c r="N20" i="137"/>
  <c r="E20" i="137"/>
  <c r="N19" i="137"/>
  <c r="E19" i="137"/>
  <c r="D18" i="137"/>
  <c r="N18" i="137" s="1"/>
  <c r="N17" i="137"/>
  <c r="E17" i="137"/>
  <c r="N16" i="137"/>
  <c r="E16" i="137"/>
  <c r="N15" i="137"/>
  <c r="E15" i="137"/>
  <c r="N14" i="137"/>
  <c r="H14" i="137"/>
  <c r="J14" i="137" s="1"/>
  <c r="K14" i="137" s="1"/>
  <c r="N13" i="137"/>
  <c r="J13" i="137"/>
  <c r="K13" i="137" s="1"/>
  <c r="I13" i="137"/>
  <c r="E13" i="137"/>
  <c r="N12" i="137"/>
  <c r="J12" i="137"/>
  <c r="K12" i="137" s="1"/>
  <c r="I12" i="137"/>
  <c r="E12" i="137"/>
  <c r="N11" i="137"/>
  <c r="J11" i="137"/>
  <c r="K11" i="137" s="1"/>
  <c r="I11" i="137"/>
  <c r="E11" i="137"/>
  <c r="N10" i="137"/>
  <c r="J10" i="137"/>
  <c r="K10" i="137" s="1"/>
  <c r="I10" i="137"/>
  <c r="E10" i="137"/>
  <c r="N9" i="137"/>
  <c r="J9" i="137"/>
  <c r="K9" i="137" s="1"/>
  <c r="I9" i="137"/>
  <c r="E9" i="137"/>
  <c r="N8" i="137"/>
  <c r="J8" i="137"/>
  <c r="K8" i="137" s="1"/>
  <c r="I8" i="137"/>
  <c r="E14" i="136"/>
  <c r="E10" i="136"/>
  <c r="I8" i="136"/>
  <c r="J8" i="136"/>
  <c r="K8" i="136" s="1"/>
  <c r="E8" i="136"/>
  <c r="E9" i="136"/>
  <c r="E11" i="136"/>
  <c r="E12" i="136"/>
  <c r="E13" i="136"/>
  <c r="E15" i="136"/>
  <c r="E44" i="136"/>
  <c r="E43" i="136"/>
  <c r="N8" i="136"/>
  <c r="S14" i="140" l="1"/>
  <c r="T14" i="140" s="1"/>
  <c r="U14" i="140" s="1"/>
  <c r="W15" i="140"/>
  <c r="N21" i="138"/>
  <c r="D41" i="138"/>
  <c r="L8" i="136"/>
  <c r="W17" i="140"/>
  <c r="W13" i="140"/>
  <c r="L17" i="139"/>
  <c r="W16" i="140"/>
  <c r="W12" i="140"/>
  <c r="W19" i="140"/>
  <c r="E47" i="140"/>
  <c r="S20" i="140"/>
  <c r="T20" i="140" s="1"/>
  <c r="U20" i="140" s="1"/>
  <c r="W20" i="140"/>
  <c r="W47" i="140" s="1"/>
  <c r="U22" i="140"/>
  <c r="E44" i="139"/>
  <c r="L11" i="138"/>
  <c r="L8" i="138"/>
  <c r="L10" i="138"/>
  <c r="L12" i="138"/>
  <c r="J14" i="138"/>
  <c r="K14" i="138" s="1"/>
  <c r="L14" i="138" s="1"/>
  <c r="L9" i="138"/>
  <c r="L13" i="138"/>
  <c r="N24" i="138"/>
  <c r="E18" i="138"/>
  <c r="E41" i="138" s="1"/>
  <c r="L10" i="137"/>
  <c r="L9" i="137"/>
  <c r="L13" i="137"/>
  <c r="L11" i="137"/>
  <c r="N26" i="137"/>
  <c r="N41" i="137" s="1"/>
  <c r="L8" i="137"/>
  <c r="L12" i="137"/>
  <c r="E21" i="137"/>
  <c r="I14" i="137"/>
  <c r="L14" i="137" s="1"/>
  <c r="E18" i="137"/>
  <c r="D41" i="137"/>
  <c r="D45" i="136"/>
  <c r="N40" i="136"/>
  <c r="E40" i="136"/>
  <c r="N39" i="136"/>
  <c r="E39" i="136"/>
  <c r="N38" i="136"/>
  <c r="E38" i="136"/>
  <c r="N37" i="136"/>
  <c r="E37" i="136"/>
  <c r="N36" i="136"/>
  <c r="E36" i="136"/>
  <c r="N35" i="136"/>
  <c r="E35" i="136"/>
  <c r="N34" i="136"/>
  <c r="E34" i="136"/>
  <c r="N33" i="136"/>
  <c r="E33" i="136"/>
  <c r="N32" i="136"/>
  <c r="E32" i="136"/>
  <c r="N31" i="136"/>
  <c r="E31" i="136"/>
  <c r="N30" i="136"/>
  <c r="E30" i="136"/>
  <c r="N29" i="136"/>
  <c r="E29" i="136"/>
  <c r="N28" i="136"/>
  <c r="E28" i="136"/>
  <c r="N27" i="136"/>
  <c r="E27" i="136"/>
  <c r="D26" i="136"/>
  <c r="N25" i="136"/>
  <c r="E25" i="136"/>
  <c r="N24" i="136"/>
  <c r="E24" i="136"/>
  <c r="N23" i="136"/>
  <c r="E23" i="136"/>
  <c r="N22" i="136"/>
  <c r="E22" i="136"/>
  <c r="D21" i="136"/>
  <c r="N21" i="136" s="1"/>
  <c r="N20" i="136"/>
  <c r="E20" i="136"/>
  <c r="N19" i="136"/>
  <c r="E19" i="136"/>
  <c r="D18" i="136"/>
  <c r="N17" i="136"/>
  <c r="E17" i="136"/>
  <c r="N16" i="136"/>
  <c r="E16" i="136"/>
  <c r="N15" i="136"/>
  <c r="N14" i="136"/>
  <c r="H14" i="136"/>
  <c r="I14" i="136" s="1"/>
  <c r="N13" i="136"/>
  <c r="J13" i="136"/>
  <c r="K13" i="136" s="1"/>
  <c r="I13" i="136"/>
  <c r="N12" i="136"/>
  <c r="J12" i="136"/>
  <c r="K12" i="136" s="1"/>
  <c r="I12" i="136"/>
  <c r="N11" i="136"/>
  <c r="J11" i="136"/>
  <c r="K11" i="136" s="1"/>
  <c r="I11" i="136"/>
  <c r="N10" i="136"/>
  <c r="J10" i="136"/>
  <c r="K10" i="136" s="1"/>
  <c r="I10" i="136"/>
  <c r="N9" i="136"/>
  <c r="J9" i="136"/>
  <c r="K9" i="136" s="1"/>
  <c r="I9" i="136"/>
  <c r="N9" i="134"/>
  <c r="N10" i="134"/>
  <c r="N11" i="134"/>
  <c r="N12" i="134"/>
  <c r="N13" i="134"/>
  <c r="N14" i="134"/>
  <c r="N15" i="134"/>
  <c r="N16" i="134"/>
  <c r="N17" i="134"/>
  <c r="N19" i="134"/>
  <c r="N20" i="134"/>
  <c r="N22" i="134"/>
  <c r="N23" i="134"/>
  <c r="N24" i="134"/>
  <c r="N25" i="134"/>
  <c r="N27" i="134"/>
  <c r="N28" i="134"/>
  <c r="N29" i="134"/>
  <c r="N30" i="134"/>
  <c r="N31" i="134"/>
  <c r="N32" i="134"/>
  <c r="N33" i="134"/>
  <c r="N34" i="134"/>
  <c r="N35" i="134"/>
  <c r="N36" i="134"/>
  <c r="N37" i="134"/>
  <c r="N38" i="134"/>
  <c r="N39" i="134"/>
  <c r="N40" i="134"/>
  <c r="N8" i="134"/>
  <c r="E15" i="134"/>
  <c r="I8" i="134"/>
  <c r="E40" i="134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5" i="134"/>
  <c r="E24" i="134"/>
  <c r="E23" i="134"/>
  <c r="E22" i="134"/>
  <c r="E20" i="134"/>
  <c r="E19" i="134"/>
  <c r="E17" i="134"/>
  <c r="E16" i="134"/>
  <c r="J9" i="134"/>
  <c r="K9" i="134" s="1"/>
  <c r="J10" i="134"/>
  <c r="K10" i="134" s="1"/>
  <c r="J11" i="134"/>
  <c r="K11" i="134" s="1"/>
  <c r="J12" i="134"/>
  <c r="K12" i="134" s="1"/>
  <c r="J13" i="134"/>
  <c r="K13" i="134" s="1"/>
  <c r="J8" i="134"/>
  <c r="K8" i="134" s="1"/>
  <c r="I9" i="134"/>
  <c r="I10" i="134"/>
  <c r="I11" i="134"/>
  <c r="I12" i="134"/>
  <c r="I13" i="134"/>
  <c r="H14" i="134"/>
  <c r="J14" i="134" s="1"/>
  <c r="K14" i="134" s="1"/>
  <c r="E47" i="135"/>
  <c r="D45" i="135"/>
  <c r="E44" i="135"/>
  <c r="E43" i="135"/>
  <c r="E40" i="135"/>
  <c r="E39" i="135"/>
  <c r="E38" i="135"/>
  <c r="E37" i="135"/>
  <c r="E36" i="135"/>
  <c r="E35" i="135"/>
  <c r="E34" i="135"/>
  <c r="E33" i="135"/>
  <c r="E32" i="135"/>
  <c r="E31" i="135"/>
  <c r="E30" i="135"/>
  <c r="E29" i="135"/>
  <c r="E28" i="135"/>
  <c r="E27" i="135"/>
  <c r="D26" i="135"/>
  <c r="E26" i="135" s="1"/>
  <c r="E25" i="135"/>
  <c r="E24" i="135"/>
  <c r="E23" i="135"/>
  <c r="E22" i="135"/>
  <c r="D21" i="135"/>
  <c r="E21" i="135" s="1"/>
  <c r="E20" i="135"/>
  <c r="E19" i="135"/>
  <c r="D18" i="135"/>
  <c r="E18" i="135" s="1"/>
  <c r="E17" i="135"/>
  <c r="E16" i="135"/>
  <c r="E15" i="135"/>
  <c r="D14" i="135"/>
  <c r="E14" i="135" s="1"/>
  <c r="E13" i="135"/>
  <c r="E12" i="135"/>
  <c r="E11" i="135"/>
  <c r="E10" i="135"/>
  <c r="E9" i="135"/>
  <c r="E8" i="135"/>
  <c r="N41" i="138" l="1"/>
  <c r="L13" i="134"/>
  <c r="D41" i="136"/>
  <c r="L8" i="134"/>
  <c r="E41" i="137"/>
  <c r="L9" i="134"/>
  <c r="L11" i="134"/>
  <c r="J14" i="136"/>
  <c r="K14" i="136" s="1"/>
  <c r="L14" i="136" s="1"/>
  <c r="N18" i="136"/>
  <c r="I14" i="134"/>
  <c r="L14" i="134" s="1"/>
  <c r="L10" i="134"/>
  <c r="E26" i="136"/>
  <c r="F26" i="136"/>
  <c r="L12" i="136"/>
  <c r="L13" i="136"/>
  <c r="L11" i="136"/>
  <c r="L10" i="136"/>
  <c r="L9" i="136"/>
  <c r="N26" i="136"/>
  <c r="E21" i="136"/>
  <c r="E18" i="136"/>
  <c r="L12" i="134"/>
  <c r="D41" i="135"/>
  <c r="N41" i="136" l="1"/>
  <c r="E41" i="136"/>
  <c r="D45" i="134"/>
  <c r="E44" i="134"/>
  <c r="E43" i="134"/>
  <c r="D26" i="134"/>
  <c r="D21" i="134"/>
  <c r="D18" i="134"/>
  <c r="Y54" i="133"/>
  <c r="Y53" i="133"/>
  <c r="L53" i="133"/>
  <c r="Y52" i="133"/>
  <c r="L52" i="133"/>
  <c r="Y51" i="133"/>
  <c r="L51" i="133"/>
  <c r="Y50" i="133"/>
  <c r="Y49" i="133"/>
  <c r="Y48" i="133"/>
  <c r="Y47" i="133"/>
  <c r="Y46" i="133"/>
  <c r="L46" i="133"/>
  <c r="Y45" i="133"/>
  <c r="L45" i="133"/>
  <c r="Y44" i="133"/>
  <c r="L44" i="133"/>
  <c r="Y43" i="133"/>
  <c r="L43" i="133"/>
  <c r="Y42" i="133"/>
  <c r="L42" i="133"/>
  <c r="Y41" i="133"/>
  <c r="L41" i="133"/>
  <c r="Y40" i="133"/>
  <c r="L40" i="133"/>
  <c r="Y39" i="133"/>
  <c r="L39" i="133"/>
  <c r="L38" i="133"/>
  <c r="L37" i="133"/>
  <c r="L36" i="133"/>
  <c r="L35" i="133"/>
  <c r="Y34" i="133"/>
  <c r="L34" i="133"/>
  <c r="Y33" i="133"/>
  <c r="L33" i="133"/>
  <c r="Y32" i="133"/>
  <c r="Y31" i="133"/>
  <c r="Y30" i="133"/>
  <c r="Y29" i="133"/>
  <c r="Y28" i="133"/>
  <c r="L28" i="133"/>
  <c r="Y27" i="133"/>
  <c r="L27" i="133"/>
  <c r="Y26" i="133"/>
  <c r="L26" i="133"/>
  <c r="Y25" i="133"/>
  <c r="L25" i="133"/>
  <c r="Y24" i="133"/>
  <c r="L24" i="133"/>
  <c r="Y23" i="133"/>
  <c r="L23" i="133"/>
  <c r="Y22" i="133"/>
  <c r="L22" i="133"/>
  <c r="Y21" i="133"/>
  <c r="L21" i="133"/>
  <c r="Y20" i="133"/>
  <c r="L20" i="133"/>
  <c r="Y19" i="133"/>
  <c r="L19" i="133"/>
  <c r="Y18" i="133"/>
  <c r="L18" i="133"/>
  <c r="Y17" i="133"/>
  <c r="L17" i="133"/>
  <c r="Y16" i="133"/>
  <c r="L16" i="133"/>
  <c r="Y15" i="133"/>
  <c r="L15" i="133"/>
  <c r="Y14" i="133"/>
  <c r="L14" i="133"/>
  <c r="Y13" i="133"/>
  <c r="L13" i="133"/>
  <c r="Y12" i="133"/>
  <c r="L12" i="133"/>
  <c r="Y11" i="133"/>
  <c r="L11" i="133"/>
  <c r="Y10" i="133"/>
  <c r="L10" i="133"/>
  <c r="Y9" i="133"/>
  <c r="L9" i="133"/>
  <c r="Y43" i="132"/>
  <c r="Y42" i="132"/>
  <c r="L53" i="132"/>
  <c r="Y54" i="132"/>
  <c r="L52" i="132"/>
  <c r="Y53" i="132"/>
  <c r="L51" i="132"/>
  <c r="Y52" i="132"/>
  <c r="Y51" i="132"/>
  <c r="Y50" i="132"/>
  <c r="Y49" i="132"/>
  <c r="Y48" i="132"/>
  <c r="L46" i="132"/>
  <c r="Y47" i="132"/>
  <c r="L45" i="132"/>
  <c r="Y46" i="132"/>
  <c r="L44" i="132"/>
  <c r="Y45" i="132"/>
  <c r="L43" i="132"/>
  <c r="Y44" i="132"/>
  <c r="L42" i="132"/>
  <c r="Y41" i="132"/>
  <c r="L41" i="132"/>
  <c r="Y40" i="132"/>
  <c r="L40" i="132"/>
  <c r="Y39" i="132"/>
  <c r="L39" i="132"/>
  <c r="L38" i="132"/>
  <c r="L37" i="132"/>
  <c r="L36" i="132"/>
  <c r="L35" i="132"/>
  <c r="Y34" i="132"/>
  <c r="L34" i="132"/>
  <c r="Y33" i="132"/>
  <c r="L33" i="132"/>
  <c r="Y32" i="132"/>
  <c r="Y31" i="132"/>
  <c r="Y30" i="132"/>
  <c r="Y29" i="132"/>
  <c r="Y28" i="132"/>
  <c r="L28" i="132"/>
  <c r="Y27" i="132"/>
  <c r="L27" i="132"/>
  <c r="Y26" i="132"/>
  <c r="L26" i="132"/>
  <c r="Y25" i="132"/>
  <c r="L25" i="132"/>
  <c r="Y24" i="132"/>
  <c r="L24" i="132"/>
  <c r="Y23" i="132"/>
  <c r="L23" i="132"/>
  <c r="Y22" i="132"/>
  <c r="L22" i="132"/>
  <c r="Y21" i="132"/>
  <c r="L21" i="132"/>
  <c r="Y20" i="132"/>
  <c r="L20" i="132"/>
  <c r="Y19" i="132"/>
  <c r="L19" i="132"/>
  <c r="Y18" i="132"/>
  <c r="L18" i="132"/>
  <c r="Y17" i="132"/>
  <c r="L17" i="132"/>
  <c r="Y16" i="132"/>
  <c r="L16" i="132"/>
  <c r="Y15" i="132"/>
  <c r="L15" i="132"/>
  <c r="Y14" i="132"/>
  <c r="L14" i="132"/>
  <c r="Y13" i="132"/>
  <c r="L13" i="132"/>
  <c r="Y12" i="132"/>
  <c r="L12" i="132"/>
  <c r="Y11" i="132"/>
  <c r="L11" i="132"/>
  <c r="Y10" i="132"/>
  <c r="L10" i="132"/>
  <c r="Y9" i="132"/>
  <c r="L9" i="132"/>
  <c r="E26" i="134" l="1"/>
  <c r="N26" i="134"/>
  <c r="L54" i="133"/>
  <c r="Y60" i="133" s="1"/>
  <c r="E47" i="136"/>
  <c r="F47" i="136" s="1"/>
  <c r="E21" i="134"/>
  <c r="N21" i="134"/>
  <c r="D41" i="134"/>
  <c r="E18" i="134"/>
  <c r="N18" i="134"/>
  <c r="Y35" i="133"/>
  <c r="Y58" i="133" s="1"/>
  <c r="L29" i="133"/>
  <c r="Y57" i="133" s="1"/>
  <c r="Y55" i="133"/>
  <c r="Y61" i="133" s="1"/>
  <c r="L47" i="133"/>
  <c r="Y59" i="133" s="1"/>
  <c r="L54" i="132"/>
  <c r="Y60" i="132" s="1"/>
  <c r="Y55" i="132"/>
  <c r="Y61" i="132" s="1"/>
  <c r="L29" i="132"/>
  <c r="Y57" i="132" s="1"/>
  <c r="L47" i="132"/>
  <c r="Y59" i="132" s="1"/>
  <c r="Y35" i="132"/>
  <c r="Y58" i="132" s="1"/>
  <c r="Y9" i="131"/>
  <c r="L9" i="131"/>
  <c r="L53" i="131"/>
  <c r="Y52" i="131"/>
  <c r="L52" i="131"/>
  <c r="Y51" i="131"/>
  <c r="L51" i="131"/>
  <c r="Y50" i="131"/>
  <c r="Y49" i="131"/>
  <c r="Y48" i="131"/>
  <c r="Y47" i="131"/>
  <c r="Y46" i="131"/>
  <c r="L46" i="131"/>
  <c r="Y45" i="131"/>
  <c r="L45" i="131"/>
  <c r="Y44" i="131"/>
  <c r="L44" i="131"/>
  <c r="Y43" i="131"/>
  <c r="L43" i="131"/>
  <c r="Y42" i="131"/>
  <c r="L42" i="131"/>
  <c r="Y41" i="131"/>
  <c r="L41" i="131"/>
  <c r="Y40" i="131"/>
  <c r="L40" i="131"/>
  <c r="Y39" i="131"/>
  <c r="L39" i="131"/>
  <c r="L38" i="131"/>
  <c r="L37" i="131"/>
  <c r="L36" i="131"/>
  <c r="L35" i="131"/>
  <c r="Y34" i="131"/>
  <c r="L34" i="131"/>
  <c r="Y33" i="131"/>
  <c r="L33" i="131"/>
  <c r="Y32" i="131"/>
  <c r="Y31" i="131"/>
  <c r="Y30" i="131"/>
  <c r="Y29" i="131"/>
  <c r="Y28" i="131"/>
  <c r="L28" i="131"/>
  <c r="Y27" i="131"/>
  <c r="L27" i="131"/>
  <c r="Y26" i="131"/>
  <c r="L26" i="131"/>
  <c r="Y25" i="131"/>
  <c r="L25" i="131"/>
  <c r="Y24" i="131"/>
  <c r="L24" i="131"/>
  <c r="Y23" i="131"/>
  <c r="L23" i="131"/>
  <c r="Y22" i="131"/>
  <c r="L22" i="131"/>
  <c r="Y21" i="131"/>
  <c r="L21" i="131"/>
  <c r="Y20" i="131"/>
  <c r="L20" i="131"/>
  <c r="Y19" i="131"/>
  <c r="L19" i="131"/>
  <c r="Y18" i="131"/>
  <c r="L18" i="131"/>
  <c r="Y17" i="131"/>
  <c r="L17" i="131"/>
  <c r="Y16" i="131"/>
  <c r="L16" i="131"/>
  <c r="Y15" i="131"/>
  <c r="L15" i="131"/>
  <c r="Y14" i="131"/>
  <c r="L14" i="131"/>
  <c r="Y13" i="131"/>
  <c r="L13" i="131"/>
  <c r="Y12" i="131"/>
  <c r="L12" i="131"/>
  <c r="Y11" i="131"/>
  <c r="L11" i="131"/>
  <c r="Y10" i="131"/>
  <c r="L10" i="131"/>
  <c r="E41" i="134" l="1"/>
  <c r="E47" i="134" s="1"/>
  <c r="N41" i="134"/>
  <c r="L29" i="131"/>
  <c r="Y55" i="131" s="1"/>
  <c r="Y63" i="132"/>
  <c r="V36" i="132" s="1"/>
  <c r="Y63" i="133"/>
  <c r="Y35" i="131"/>
  <c r="Y56" i="131" s="1"/>
  <c r="L47" i="131"/>
  <c r="Y57" i="131" s="1"/>
  <c r="L54" i="131"/>
  <c r="Y58" i="131" s="1"/>
  <c r="Y53" i="131"/>
  <c r="Y59" i="131" s="1"/>
  <c r="V36" i="133" l="1"/>
  <c r="I30" i="133"/>
  <c r="I30" i="132"/>
  <c r="Y61" i="131"/>
  <c r="I30" i="131" l="1"/>
  <c r="V36" i="131"/>
  <c r="E47" i="117" l="1"/>
  <c r="D45" i="117"/>
  <c r="E44" i="117" l="1"/>
  <c r="E43" i="117"/>
  <c r="D21" i="117" l="1"/>
  <c r="D18" i="117"/>
  <c r="D26" i="117" l="1"/>
  <c r="D41" i="117" l="1"/>
  <c r="G47" i="136" l="1"/>
  <c r="H47" i="136" s="1"/>
  <c r="H20" i="157"/>
  <c r="F18" i="157" s="1"/>
  <c r="F19" i="157" l="1"/>
  <c r="J19" i="157"/>
  <c r="I19" i="157" s="1"/>
  <c r="F20" i="157"/>
  <c r="F12" i="157"/>
  <c r="F17" i="157"/>
  <c r="H23" i="157"/>
  <c r="F14" i="157"/>
  <c r="F16" i="157"/>
  <c r="F13" i="157"/>
  <c r="F15" i="157"/>
  <c r="D20" i="157" l="1"/>
  <c r="J20" i="157"/>
  <c r="I20" i="157"/>
  <c r="G20" i="157"/>
  <c r="H22" i="157" l="1"/>
  <c r="E22" i="157"/>
  <c r="U20" i="157"/>
</calcChain>
</file>

<file path=xl/sharedStrings.xml><?xml version="1.0" encoding="utf-8"?>
<sst xmlns="http://schemas.openxmlformats.org/spreadsheetml/2006/main" count="2402" uniqueCount="333">
  <si>
    <t xml:space="preserve">Sl. </t>
  </si>
  <si>
    <t>Products</t>
  </si>
  <si>
    <t>Azaltic 500 Tab</t>
  </si>
  <si>
    <t xml:space="preserve">Starcal D Tab </t>
  </si>
  <si>
    <t>V3N Tab</t>
  </si>
  <si>
    <t>Visnil 50 Tab</t>
  </si>
  <si>
    <t>Montiva 10 Tab</t>
  </si>
  <si>
    <t>50's</t>
  </si>
  <si>
    <t>100 ml</t>
  </si>
  <si>
    <t>30's</t>
  </si>
  <si>
    <t>20's</t>
  </si>
  <si>
    <t>10's</t>
  </si>
  <si>
    <t>12's</t>
  </si>
  <si>
    <t>Diazid 80 Tab</t>
  </si>
  <si>
    <t>Pack Size</t>
  </si>
  <si>
    <t>Bisopress 2.5 Tab</t>
  </si>
  <si>
    <t>Irobest Tab</t>
  </si>
  <si>
    <t>60's</t>
  </si>
  <si>
    <t>TP/MTP</t>
  </si>
  <si>
    <t>Avator 10 Tab</t>
  </si>
  <si>
    <t>Nipro Gold Tab</t>
  </si>
  <si>
    <t>Glucomin 500 Tab</t>
  </si>
  <si>
    <t>Glucomin 850 Tab</t>
  </si>
  <si>
    <t>Metavas MR Tab</t>
  </si>
  <si>
    <t xml:space="preserve">Fixpro 200 Cap </t>
  </si>
  <si>
    <t>Nixon 1g IV Inj</t>
  </si>
  <si>
    <t>1's</t>
  </si>
  <si>
    <t>Nixon 2g IV Inj</t>
  </si>
  <si>
    <t>Lijenta 5 Tab</t>
  </si>
  <si>
    <t>Doxiva 400 Tab</t>
  </si>
  <si>
    <t>Oxydrop 0.05% N/D</t>
  </si>
  <si>
    <t>Oxydrop 0.025% N/D</t>
  </si>
  <si>
    <t>16's</t>
  </si>
  <si>
    <t>Lijenta M 500 Tab</t>
  </si>
  <si>
    <t>Lijenta M 850 Tab</t>
  </si>
  <si>
    <t>Lijenta M 1000 Tab</t>
  </si>
  <si>
    <t>Pandura 0.5 Tab</t>
  </si>
  <si>
    <t>32's</t>
  </si>
  <si>
    <t>Flexivan ER Tab</t>
  </si>
  <si>
    <t>Rajshahi</t>
  </si>
  <si>
    <t>Total</t>
  </si>
  <si>
    <t xml:space="preserve">Total </t>
  </si>
  <si>
    <t>Doxiva 200 Tab</t>
  </si>
  <si>
    <t>Rablet Tab</t>
  </si>
  <si>
    <t>Adarbi 40 Tab</t>
  </si>
  <si>
    <t>Losarva 50 Tab</t>
  </si>
  <si>
    <t>Nitrogina SR Tab</t>
  </si>
  <si>
    <t xml:space="preserve">Niprolac Sol </t>
  </si>
  <si>
    <t>Erdostin Cap</t>
  </si>
  <si>
    <t>Altrip Tab</t>
  </si>
  <si>
    <t>Omecron 20 Cap</t>
  </si>
  <si>
    <t>Empa 10 Tab</t>
  </si>
  <si>
    <t>Losarva Plus Tab</t>
  </si>
  <si>
    <t>Meroxin 500 mg IV Inj</t>
  </si>
  <si>
    <t>Meroxin 1 g IV Inj</t>
  </si>
  <si>
    <t>Nixon 500 mg IM Inj</t>
  </si>
  <si>
    <t>8's</t>
  </si>
  <si>
    <t>Top 20 Products</t>
  </si>
  <si>
    <t>Other Injectable Products</t>
  </si>
  <si>
    <t>40's</t>
  </si>
  <si>
    <t>Rovator 5 Tab</t>
  </si>
  <si>
    <t>Rovator 10 Tab</t>
  </si>
  <si>
    <t>Xinarox CV 250 Tab</t>
  </si>
  <si>
    <t>Xinarox CV 500 Tab</t>
  </si>
  <si>
    <t>100's</t>
  </si>
  <si>
    <t>Fixpro PFS</t>
  </si>
  <si>
    <t>50 ml</t>
  </si>
  <si>
    <t>Doxiva Syp</t>
  </si>
  <si>
    <t xml:space="preserve"> 100 ml </t>
  </si>
  <si>
    <t>Khulna</t>
  </si>
  <si>
    <t>D-Star 20000 IU Cap</t>
  </si>
  <si>
    <t>D-Star 40000 IU Cap</t>
  </si>
  <si>
    <t>10 gm</t>
  </si>
  <si>
    <t xml:space="preserve">Carceva 75 Tab </t>
  </si>
  <si>
    <t>D-Star 2000 Tab</t>
  </si>
  <si>
    <t>Carceva Plus Tab</t>
  </si>
  <si>
    <t>Sl #</t>
  </si>
  <si>
    <t>Target Share (%)</t>
  </si>
  <si>
    <t>Target Value (Tk.)</t>
  </si>
  <si>
    <t>Dhaka A</t>
  </si>
  <si>
    <t>Dhaka B</t>
  </si>
  <si>
    <t>Dhaka C</t>
  </si>
  <si>
    <t>Dhaka D</t>
  </si>
  <si>
    <t>Dhaka E</t>
  </si>
  <si>
    <t>Dhaka F</t>
  </si>
  <si>
    <t>Uttara</t>
  </si>
  <si>
    <t>Gazipur</t>
  </si>
  <si>
    <t>Savar</t>
  </si>
  <si>
    <t>Chattagram A</t>
  </si>
  <si>
    <t>Chattagram B</t>
  </si>
  <si>
    <t>Barishal</t>
  </si>
  <si>
    <t>Cumilla</t>
  </si>
  <si>
    <t>Narayanganj</t>
  </si>
  <si>
    <t>Jashore</t>
  </si>
  <si>
    <t>CBU</t>
  </si>
  <si>
    <t>Mymensingh</t>
  </si>
  <si>
    <t>Sylhet</t>
  </si>
  <si>
    <t>Faridpur</t>
  </si>
  <si>
    <t>Noakhali</t>
  </si>
  <si>
    <t>Rangpur</t>
  </si>
  <si>
    <t>Bogura</t>
  </si>
  <si>
    <t>B. Baria</t>
  </si>
  <si>
    <t>Cox's Bazar</t>
  </si>
  <si>
    <t>Tangail</t>
  </si>
  <si>
    <t>Dinajpur</t>
  </si>
  <si>
    <t>Sub Total =</t>
  </si>
  <si>
    <t xml:space="preserve">Mr. Golam Faruk : </t>
  </si>
  <si>
    <t>General:</t>
  </si>
  <si>
    <t>Grand Total</t>
  </si>
  <si>
    <t>Empamet 5/500 Tab</t>
  </si>
  <si>
    <t>Empa 25 Tab</t>
  </si>
  <si>
    <t>Nimovo Tab</t>
  </si>
  <si>
    <t>Dhaka Total</t>
  </si>
  <si>
    <t>Chattagram Total</t>
  </si>
  <si>
    <t>Uttara Total</t>
  </si>
  <si>
    <t>Depot/Region</t>
  </si>
  <si>
    <t>Bilfast 20 Tab</t>
  </si>
  <si>
    <t xml:space="preserve">Avamist Nasal Spray </t>
  </si>
  <si>
    <t>Priority Products</t>
  </si>
  <si>
    <t>Target
(Value in kBDT)</t>
  </si>
  <si>
    <t>Top 20 Products (kBDT)</t>
  </si>
  <si>
    <t>2nd Priority Products (kBDT)</t>
  </si>
  <si>
    <t>Other Injectable Products (kBDT)</t>
  </si>
  <si>
    <t>Grand Total (kBDT)</t>
  </si>
  <si>
    <t>Fexten 120 Tab</t>
  </si>
  <si>
    <t>New Products (kBDT)</t>
  </si>
  <si>
    <t>Cardiac Products: Dhaka Depot (given in separate sheet)</t>
  </si>
  <si>
    <t>New Products</t>
  </si>
  <si>
    <t>Other Products</t>
  </si>
  <si>
    <t>Arcet Tablet</t>
  </si>
  <si>
    <t>Toralin Tablet</t>
  </si>
  <si>
    <t>Others Products (kBDT)</t>
  </si>
  <si>
    <t>24's</t>
  </si>
  <si>
    <t>Cefracef 500 Cap</t>
  </si>
  <si>
    <t>Esotor 20 Cap</t>
  </si>
  <si>
    <t>Esotor 20 Tab</t>
  </si>
  <si>
    <t>Prokinet Tab</t>
  </si>
  <si>
    <t>Citrux-C Chewable Tab</t>
  </si>
  <si>
    <t>\</t>
  </si>
  <si>
    <t>Kushtia</t>
  </si>
  <si>
    <t>Jashore Total</t>
  </si>
  <si>
    <t>Terbisol Cream</t>
  </si>
  <si>
    <t xml:space="preserve">10 gm </t>
  </si>
  <si>
    <t>Dermova Ointment</t>
  </si>
  <si>
    <t>Dermova Cream</t>
  </si>
  <si>
    <t>15 gm</t>
  </si>
  <si>
    <t>Betnova Cream</t>
  </si>
  <si>
    <t>Betnova Ointment</t>
  </si>
  <si>
    <t>Betnova-N Ointment</t>
  </si>
  <si>
    <t>Betnova-N Cream</t>
  </si>
  <si>
    <t>Glucomin XR 500 Tab</t>
  </si>
  <si>
    <t>Glucomin XR 1000 Tab</t>
  </si>
  <si>
    <t>Keshorgonj</t>
  </si>
  <si>
    <t>Sub Total=</t>
  </si>
  <si>
    <t>Code</t>
  </si>
  <si>
    <t>EPT3</t>
  </si>
  <si>
    <t>APT1</t>
  </si>
  <si>
    <t>EPT2</t>
  </si>
  <si>
    <t>ACT4</t>
  </si>
  <si>
    <t>EMT1</t>
  </si>
  <si>
    <t>CST1</t>
  </si>
  <si>
    <t>LTT2</t>
  </si>
  <si>
    <t>DDT1</t>
  </si>
  <si>
    <t>LMT6</t>
  </si>
  <si>
    <t>DVT3</t>
  </si>
  <si>
    <t>LMT5</t>
  </si>
  <si>
    <t>DVS1</t>
  </si>
  <si>
    <t>DVT5</t>
  </si>
  <si>
    <t>DRT1</t>
  </si>
  <si>
    <t>VNT3</t>
  </si>
  <si>
    <t>DRC1</t>
  </si>
  <si>
    <t>RTT1</t>
  </si>
  <si>
    <t>ENC1</t>
  </si>
  <si>
    <t>XVT1</t>
  </si>
  <si>
    <t>FNT4</t>
  </si>
  <si>
    <t>XVT2</t>
  </si>
  <si>
    <t>FRC3</t>
  </si>
  <si>
    <t>PRT1</t>
  </si>
  <si>
    <t>FRP1</t>
  </si>
  <si>
    <t>MVT1</t>
  </si>
  <si>
    <t>GNT3</t>
  </si>
  <si>
    <t>BTT1</t>
  </si>
  <si>
    <t>GNT4</t>
  </si>
  <si>
    <t>ATN1</t>
  </si>
  <si>
    <t>ITT1</t>
  </si>
  <si>
    <t>SDT3</t>
  </si>
  <si>
    <t>LMT3</t>
  </si>
  <si>
    <t>LST3</t>
  </si>
  <si>
    <t>MVI2</t>
  </si>
  <si>
    <t>DRC2</t>
  </si>
  <si>
    <t>MRT3</t>
  </si>
  <si>
    <t>FRT1</t>
  </si>
  <si>
    <t>NVT1</t>
  </si>
  <si>
    <t>VST1</t>
  </si>
  <si>
    <t>NDT2</t>
  </si>
  <si>
    <t>NCS1</t>
  </si>
  <si>
    <t>NVI3</t>
  </si>
  <si>
    <t>ONC3</t>
  </si>
  <si>
    <t>OPD1</t>
  </si>
  <si>
    <t>ABT2</t>
  </si>
  <si>
    <t>OPD2</t>
  </si>
  <si>
    <t>LLT1</t>
  </si>
  <si>
    <t>RRT1</t>
  </si>
  <si>
    <t>RRT2</t>
  </si>
  <si>
    <t>ART1</t>
  </si>
  <si>
    <t>BST1</t>
  </si>
  <si>
    <t>CCT1</t>
  </si>
  <si>
    <t>NST1</t>
  </si>
  <si>
    <t>CVT1</t>
  </si>
  <si>
    <t>ATT1</t>
  </si>
  <si>
    <t>TLC1</t>
  </si>
  <si>
    <t>CFC2</t>
  </si>
  <si>
    <t>DVC1</t>
  </si>
  <si>
    <t>TLT1</t>
  </si>
  <si>
    <t>DVO1</t>
  </si>
  <si>
    <t>ERC1</t>
  </si>
  <si>
    <t>BVC1</t>
  </si>
  <si>
    <t>ERT1</t>
  </si>
  <si>
    <t>BVO1</t>
  </si>
  <si>
    <t>PTT1</t>
  </si>
  <si>
    <t>BTC1</t>
  </si>
  <si>
    <t>BTO1</t>
  </si>
  <si>
    <t>GRT1</t>
  </si>
  <si>
    <t>GRT2</t>
  </si>
  <si>
    <t>NVI4</t>
  </si>
  <si>
    <t>NMI2</t>
  </si>
  <si>
    <t>MVI1</t>
  </si>
  <si>
    <t>Target April'22</t>
  </si>
  <si>
    <t>Movement</t>
  </si>
  <si>
    <t>Last month sales</t>
  </si>
  <si>
    <t>Apiban 2.5 Tablet</t>
  </si>
  <si>
    <t>Apiban 5 Tablet</t>
  </si>
  <si>
    <t>20’s</t>
  </si>
  <si>
    <t>10’s</t>
  </si>
  <si>
    <t>ANT1</t>
  </si>
  <si>
    <t>ANT2</t>
  </si>
  <si>
    <t>Target May'22</t>
  </si>
  <si>
    <t>Emjenta Tablet</t>
  </si>
  <si>
    <t>EJT1</t>
  </si>
  <si>
    <t>Lyrinex CR 82.5 Tab</t>
  </si>
  <si>
    <t>Lyrinex CR 165 Tab</t>
  </si>
  <si>
    <t>30’s</t>
  </si>
  <si>
    <t>24’s</t>
  </si>
  <si>
    <t>LCT1</t>
  </si>
  <si>
    <t>LCT2</t>
  </si>
  <si>
    <t>Target June'22</t>
  </si>
  <si>
    <t>Target of June 2022</t>
  </si>
  <si>
    <t>Sales as on 27.05.22</t>
  </si>
  <si>
    <t>Target July'22</t>
  </si>
  <si>
    <t>Laxitab 1 Tab</t>
  </si>
  <si>
    <t>Laxitab 2 Tab</t>
  </si>
  <si>
    <t>LBT1</t>
  </si>
  <si>
    <t>LBT2</t>
  </si>
  <si>
    <t>Target of July 2022</t>
  </si>
  <si>
    <t>National Target of July 2022</t>
  </si>
  <si>
    <t>Sales as on 25.06.22</t>
  </si>
  <si>
    <t>National Target of August 2022</t>
  </si>
  <si>
    <t>National Target of June 2022</t>
  </si>
  <si>
    <t>Old Share</t>
  </si>
  <si>
    <t>Additional Share</t>
  </si>
  <si>
    <t>Target:</t>
  </si>
  <si>
    <t>Target Value</t>
  </si>
  <si>
    <t>National Target of December 2022</t>
  </si>
  <si>
    <t>Total =</t>
  </si>
  <si>
    <t>National Target of January 2023</t>
  </si>
  <si>
    <t>Sylhet A</t>
  </si>
  <si>
    <t>Sylhet B</t>
  </si>
  <si>
    <t>Sylhet Total</t>
  </si>
  <si>
    <t>Dhaka G</t>
  </si>
  <si>
    <t>Dhaka H</t>
  </si>
  <si>
    <t>CCU</t>
  </si>
  <si>
    <t>PCU</t>
  </si>
  <si>
    <t>Dhaka Depot Target of January 2023</t>
  </si>
  <si>
    <t>Target Share % (Considering 02 Decimal)</t>
  </si>
  <si>
    <t>Dhaka Depot Target of February 2023</t>
  </si>
  <si>
    <t>National Target</t>
  </si>
  <si>
    <t>For Feb 2023</t>
  </si>
  <si>
    <t xml:space="preserve"> </t>
  </si>
  <si>
    <t>National Target of February 2023</t>
  </si>
  <si>
    <t>National Target of March 2023</t>
  </si>
  <si>
    <t>CCU-</t>
  </si>
  <si>
    <t>PCU-</t>
  </si>
  <si>
    <t>Dhaka Depot Target of April 2023</t>
  </si>
  <si>
    <t>Dhaka Depot Target of March 2023</t>
  </si>
  <si>
    <t>National Target of April 2023</t>
  </si>
  <si>
    <t xml:space="preserve">Outside </t>
  </si>
  <si>
    <t>Dhaka</t>
  </si>
  <si>
    <t>National Target of May 2023</t>
  </si>
  <si>
    <t>National Target of June 2023</t>
  </si>
  <si>
    <t>Dhaka Depot Target of June 2023</t>
  </si>
  <si>
    <t>Target Share</t>
  </si>
  <si>
    <t>Dhaka Depot Target of June 2023 (previous)</t>
  </si>
  <si>
    <t>National Target of July 2023</t>
  </si>
  <si>
    <t>July'23</t>
  </si>
  <si>
    <t>August'23</t>
  </si>
  <si>
    <t>Target Share of Dhaka Depot</t>
  </si>
  <si>
    <t>National Target of September 2023</t>
  </si>
  <si>
    <t>Dhaka Depot Target of September 2023</t>
  </si>
  <si>
    <t>Noakhali A</t>
  </si>
  <si>
    <t>Noakhali B</t>
  </si>
  <si>
    <t>Noakhali Total</t>
  </si>
  <si>
    <t>National Target of October 2023</t>
  </si>
  <si>
    <t>CCU (Sep'23)</t>
  </si>
  <si>
    <t>CCU (Oct'23)</t>
  </si>
  <si>
    <t>PCU (Sep'23</t>
  </si>
  <si>
    <t>PCU (Oct'23)</t>
  </si>
  <si>
    <t>Dhaka Depot Target of October 2023</t>
  </si>
  <si>
    <t>Total (Sep'23)</t>
  </si>
  <si>
    <t>Total (Oct'23)</t>
  </si>
  <si>
    <t>Sylhet -1</t>
  </si>
  <si>
    <t>Sylhet -2</t>
  </si>
  <si>
    <t>Dhaka- 2</t>
  </si>
  <si>
    <t>Dhaka- 3</t>
  </si>
  <si>
    <t>Dhaka- 4</t>
  </si>
  <si>
    <t>Dhaka- 5</t>
  </si>
  <si>
    <t>Dhaka- 1</t>
  </si>
  <si>
    <t>Dhaka- 6</t>
  </si>
  <si>
    <t xml:space="preserve">Dhaka-7 </t>
  </si>
  <si>
    <t>Dhaka- 8</t>
  </si>
  <si>
    <t>Chattagram- 1</t>
  </si>
  <si>
    <t>Chattagram- 2</t>
  </si>
  <si>
    <t>Chattagram- 3</t>
  </si>
  <si>
    <t>Noakhali- 1</t>
  </si>
  <si>
    <t>Noakhali- 2</t>
  </si>
  <si>
    <t>Oct</t>
  </si>
  <si>
    <t>Sep</t>
  </si>
  <si>
    <t>Dhaka Depot Target of November 2023</t>
  </si>
  <si>
    <t>CCU (Nov'23)</t>
  </si>
  <si>
    <t>PCU (Nov'23)</t>
  </si>
  <si>
    <t>Total (Nov'23)</t>
  </si>
  <si>
    <t>Dec</t>
  </si>
  <si>
    <t>Nov</t>
  </si>
  <si>
    <t>National Target of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</si>
</sst>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_(* #,##0_);_(* \(#,##0\);_(* &quot;-&quot;???_);_(@_)"/>
    <numFmt numFmtId="169" formatCode="#,##0;[Red]#,##0"/>
    <numFmt numFmtId="170" formatCode="0.000%"/>
    <numFmt numFmtId="171" formatCode="_(* #,##0.00_);_(* \(#,##0.00\);_(* &quot;-&quot;???_);_(@_)"/>
    <numFmt numFmtId="172" formatCode="0.0000"/>
    <numFmt numFmtId="173" formatCode="#,##0.000"/>
    <numFmt numFmtId="174" formatCode="#,##0.000;[Red]#,##0.000"/>
    <numFmt numFmtId="175" formatCode="_(* #,##0.000_);_(* \(#,##0.000\);_(* &quot;-&quot;???_);_(@_)"/>
    <numFmt numFmtId="176" formatCode="#,##0.00000"/>
    <numFmt numFmtId="177" formatCode="#,##0.00;[Red]#,##0.00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2"/>
      <name val="Arial Narrow"/>
      <family val="2"/>
    </font>
    <font>
      <sz val="10"/>
      <color indexed="8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sz val="12.5"/>
      <name val="Arial Narrow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22"/>
      <color indexed="8"/>
      <name val="Times New Roman"/>
      <family val="1"/>
    </font>
    <font>
      <b/>
      <sz val="11"/>
      <color indexed="8"/>
      <name val="Calibri"/>
      <family val="2"/>
    </font>
    <font>
      <sz val="1"/>
      <color theme="1"/>
      <name val="Calibri"/>
      <family val="2"/>
      <scheme val="minor"/>
    </font>
    <font>
      <sz val="1"/>
      <color indexed="8"/>
      <name val="Calibri"/>
      <family val="2"/>
    </font>
    <font>
      <sz val="1"/>
      <color indexed="62"/>
      <name val="Calibri"/>
      <family val="2"/>
    </font>
    <font>
      <sz val="11"/>
      <color rgb="FF9C5700"/>
      <name val="Calibri"/>
      <family val="2"/>
      <scheme val="minor"/>
    </font>
    <font>
      <sz val="1"/>
      <color rgb="FF3F3F76"/>
      <name val="Calibri"/>
      <family val="2"/>
      <scheme val="minor"/>
    </font>
    <font>
      <b/>
      <sz val="22"/>
      <color theme="1"/>
      <name val="Times New Roman"/>
      <family val="1"/>
    </font>
    <font>
      <sz val="1"/>
      <color theme="1"/>
      <name val="Calibri"/>
      <family val="2"/>
    </font>
    <font>
      <sz val="1"/>
      <color theme="3"/>
      <name val="Calibri"/>
      <family val="2"/>
      <scheme val="minor"/>
    </font>
    <font>
      <sz val="11"/>
      <color theme="1"/>
      <name val="Cambria"/>
      <family val="2"/>
    </font>
    <font>
      <sz val="1"/>
      <color indexed="56"/>
      <name val="Calibri"/>
      <family val="2"/>
    </font>
    <font>
      <sz val="18"/>
      <color theme="3"/>
      <name val="Cambria"/>
      <family val="2"/>
    </font>
    <font>
      <sz val="10"/>
      <color indexed="62"/>
      <name val="Arial Narrow"/>
      <family val="2"/>
    </font>
    <font>
      <u/>
      <sz val="10"/>
      <color theme="10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u/>
      <sz val="18"/>
      <name val="Arial Narrow"/>
      <family val="2"/>
    </font>
    <font>
      <sz val="11"/>
      <color indexed="8"/>
      <name val="Arial Narrow"/>
      <family val="2"/>
    </font>
    <font>
      <b/>
      <sz val="12.5"/>
      <name val="Arial Narrow"/>
      <family val="2"/>
    </font>
    <font>
      <b/>
      <u/>
      <sz val="12.5"/>
      <name val="Arial Narrow"/>
      <family val="2"/>
    </font>
    <font>
      <sz val="12.5"/>
      <color theme="1"/>
      <name val="Arial Narrow"/>
      <family val="2"/>
    </font>
    <font>
      <sz val="12.5"/>
      <color rgb="FFFF0000"/>
      <name val="Arial Narrow"/>
      <family val="2"/>
    </font>
    <font>
      <sz val="12.5"/>
      <color theme="0"/>
      <name val="Arial Narrow"/>
      <family val="2"/>
    </font>
    <font>
      <b/>
      <sz val="12.5"/>
      <color theme="0"/>
      <name val="Arial Narrow"/>
      <family val="2"/>
    </font>
    <font>
      <b/>
      <sz val="12.5"/>
      <color rgb="FFFF0000"/>
      <name val="Arial Narrow"/>
      <family val="2"/>
    </font>
    <font>
      <b/>
      <sz val="12.5"/>
      <color theme="3"/>
      <name val="Arial Narrow"/>
      <family val="2"/>
    </font>
    <font>
      <sz val="11"/>
      <color rgb="FFFF0000"/>
      <name val="Arial Narrow"/>
      <family val="2"/>
    </font>
    <font>
      <b/>
      <u/>
      <sz val="14"/>
      <name val="Arial Narrow"/>
      <family val="2"/>
    </font>
    <font>
      <sz val="11"/>
      <color theme="1"/>
      <name val="Arial Narrow"/>
      <family val="2"/>
    </font>
    <font>
      <b/>
      <sz val="13"/>
      <color rgb="FFFF0000"/>
      <name val="Arial Narrow"/>
      <family val="2"/>
    </font>
    <font>
      <sz val="13"/>
      <color theme="1"/>
      <name val="Arial Narrow"/>
      <family val="2"/>
    </font>
    <font>
      <b/>
      <sz val="18"/>
      <name val="Arial"/>
      <family val="2"/>
    </font>
    <font>
      <sz val="13"/>
      <color rgb="FFFF0000"/>
      <name val="Arial Narrow"/>
      <family val="2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u/>
      <sz val="14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9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62"/>
      <name val="Cambria"/>
      <family val="1"/>
      <scheme val="major"/>
    </font>
    <font>
      <b/>
      <sz val="1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39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4" fillId="0" borderId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3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3" fillId="11" borderId="0" applyNumberFormat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3" fillId="15" borderId="0" applyNumberFormat="0" applyBorder="0" applyAlignment="0" applyProtection="0"/>
    <xf numFmtId="0" fontId="24" fillId="15" borderId="0" applyNumberFormat="0" applyBorder="0" applyAlignment="0" applyProtection="0"/>
    <xf numFmtId="0" fontId="3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3" fillId="16" borderId="0" applyNumberFormat="0" applyBorder="0" applyAlignment="0" applyProtection="0"/>
    <xf numFmtId="0" fontId="24" fillId="16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3" fillId="20" borderId="0" applyNumberFormat="0" applyBorder="0" applyAlignment="0" applyProtection="0"/>
    <xf numFmtId="0" fontId="24" fillId="20" borderId="0" applyNumberFormat="0" applyBorder="0" applyAlignment="0" applyProtection="0"/>
    <xf numFmtId="0" fontId="3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1" borderId="0" applyNumberFormat="0" applyBorder="0" applyAlignment="0" applyProtection="0"/>
    <xf numFmtId="0" fontId="24" fillId="21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6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7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8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9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3" fillId="10" borderId="0" applyNumberFormat="0" applyBorder="0" applyAlignment="0" applyProtection="0"/>
    <xf numFmtId="0" fontId="3" fillId="24" borderId="0" applyNumberFormat="0" applyBorder="0" applyAlignment="0" applyProtection="0"/>
    <xf numFmtId="0" fontId="24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3" fillId="25" borderId="0" applyNumberFormat="0" applyBorder="0" applyAlignment="0" applyProtection="0"/>
    <xf numFmtId="0" fontId="24" fillId="25" borderId="0" applyNumberFormat="0" applyBorder="0" applyAlignment="0" applyProtection="0"/>
    <xf numFmtId="0" fontId="3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3" fillId="26" borderId="0" applyNumberFormat="0" applyBorder="0" applyAlignment="0" applyProtection="0"/>
    <xf numFmtId="0" fontId="24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3" fillId="27" borderId="0" applyNumberFormat="0" applyBorder="0" applyAlignment="0" applyProtection="0"/>
    <xf numFmtId="0" fontId="24" fillId="27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3" fillId="28" borderId="0" applyNumberFormat="0" applyBorder="0" applyAlignment="0" applyProtection="0"/>
    <xf numFmtId="0" fontId="24" fillId="28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29" borderId="9" applyNumberFormat="0" applyAlignment="0" applyProtection="0"/>
    <xf numFmtId="0" fontId="24" fillId="29" borderId="9" applyNumberFormat="0" applyAlignment="0" applyProtection="0"/>
    <xf numFmtId="0" fontId="24" fillId="29" borderId="9" applyNumberFormat="0" applyAlignment="0" applyProtection="0"/>
    <xf numFmtId="0" fontId="24" fillId="29" borderId="9" applyNumberFormat="0" applyAlignment="0" applyProtection="0"/>
    <xf numFmtId="0" fontId="3" fillId="29" borderId="9" applyNumberFormat="0" applyAlignment="0" applyProtection="0"/>
    <xf numFmtId="0" fontId="24" fillId="29" borderId="9" applyNumberFormat="0" applyAlignment="0" applyProtection="0"/>
    <xf numFmtId="0" fontId="3" fillId="30" borderId="10" applyNumberFormat="0" applyAlignment="0" applyProtection="0"/>
    <xf numFmtId="0" fontId="24" fillId="30" borderId="10" applyNumberFormat="0" applyAlignment="0" applyProtection="0"/>
    <xf numFmtId="0" fontId="24" fillId="30" borderId="10" applyNumberFormat="0" applyAlignment="0" applyProtection="0"/>
    <xf numFmtId="0" fontId="24" fillId="30" borderId="10" applyNumberFormat="0" applyAlignment="0" applyProtection="0"/>
    <xf numFmtId="0" fontId="3" fillId="30" borderId="10" applyNumberFormat="0" applyAlignment="0" applyProtection="0"/>
    <xf numFmtId="0" fontId="24" fillId="30" borderId="10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3" fillId="0" borderId="11" applyNumberFormat="0" applyFill="0" applyAlignment="0" applyProtection="0"/>
    <xf numFmtId="0" fontId="24" fillId="0" borderId="11" applyNumberFormat="0" applyFill="0" applyAlignment="0" applyProtection="0"/>
    <xf numFmtId="0" fontId="3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3" fillId="0" borderId="12" applyNumberFormat="0" applyFill="0" applyAlignment="0" applyProtection="0"/>
    <xf numFmtId="0" fontId="24" fillId="0" borderId="12" applyNumberFormat="0" applyFill="0" applyAlignment="0" applyProtection="0"/>
    <xf numFmtId="0" fontId="3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13" applyNumberFormat="0" applyFill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16" borderId="9" applyNumberFormat="0" applyAlignment="0" applyProtection="0"/>
    <xf numFmtId="0" fontId="24" fillId="16" borderId="9" applyNumberFormat="0" applyAlignment="0" applyProtection="0"/>
    <xf numFmtId="0" fontId="24" fillId="16" borderId="9" applyNumberFormat="0" applyAlignment="0" applyProtection="0"/>
    <xf numFmtId="0" fontId="24" fillId="16" borderId="9" applyNumberFormat="0" applyAlignment="0" applyProtection="0"/>
    <xf numFmtId="0" fontId="3" fillId="16" borderId="9" applyNumberFormat="0" applyAlignment="0" applyProtection="0"/>
    <xf numFmtId="0" fontId="24" fillId="16" borderId="9" applyNumberFormat="0" applyAlignment="0" applyProtection="0"/>
    <xf numFmtId="0" fontId="3" fillId="0" borderId="14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3" fillId="0" borderId="14" applyNumberFormat="0" applyFill="0" applyAlignment="0" applyProtection="0"/>
    <xf numFmtId="0" fontId="24" fillId="0" borderId="14" applyNumberFormat="0" applyFill="0" applyAlignment="0" applyProtection="0"/>
    <xf numFmtId="0" fontId="3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7" fillId="3" borderId="0" applyNumberFormat="0" applyBorder="0" applyAlignment="0" applyProtection="0"/>
    <xf numFmtId="0" fontId="3" fillId="31" borderId="0" applyNumberFormat="0" applyBorder="0" applyAlignment="0" applyProtection="0"/>
    <xf numFmtId="0" fontId="24" fillId="31" borderId="0" applyNumberFormat="0" applyBorder="0" applyAlignment="0" applyProtection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5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2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26" fillId="32" borderId="15" applyNumberFormat="0" applyFont="0" applyAlignment="0" applyProtection="0"/>
    <xf numFmtId="0" fontId="21" fillId="32" borderId="15" applyNumberFormat="0" applyFont="0" applyAlignment="0" applyProtection="0"/>
    <xf numFmtId="0" fontId="26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3" fillId="32" borderId="15" applyNumberFormat="0" applyFont="0" applyAlignment="0" applyProtection="0"/>
    <xf numFmtId="0" fontId="26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21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1" fillId="4" borderId="8" applyNumberFormat="0" applyFont="0" applyAlignment="0" applyProtection="0"/>
    <xf numFmtId="0" fontId="3" fillId="29" borderId="16" applyNumberFormat="0" applyAlignment="0" applyProtection="0"/>
    <xf numFmtId="0" fontId="24" fillId="29" borderId="16" applyNumberFormat="0" applyAlignment="0" applyProtection="0"/>
    <xf numFmtId="0" fontId="24" fillId="29" borderId="16" applyNumberFormat="0" applyAlignment="0" applyProtection="0"/>
    <xf numFmtId="0" fontId="24" fillId="29" borderId="16" applyNumberFormat="0" applyAlignment="0" applyProtection="0"/>
    <xf numFmtId="0" fontId="3" fillId="29" borderId="16" applyNumberFormat="0" applyAlignment="0" applyProtection="0"/>
    <xf numFmtId="0" fontId="24" fillId="29" borderId="16" applyNumberFormat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3" fillId="0" borderId="17" applyNumberFormat="0" applyFill="0" applyAlignment="0" applyProtection="0"/>
    <xf numFmtId="0" fontId="24" fillId="0" borderId="17" applyNumberFormat="0" applyFill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4" fontId="19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9" borderId="9" applyNumberFormat="0" applyAlignment="0" applyProtection="0"/>
    <xf numFmtId="0" fontId="1" fillId="29" borderId="9" applyNumberFormat="0" applyAlignment="0" applyProtection="0"/>
    <xf numFmtId="0" fontId="1" fillId="30" borderId="10" applyNumberFormat="0" applyAlignment="0" applyProtection="0"/>
    <xf numFmtId="0" fontId="1" fillId="30" borderId="10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6" borderId="9" applyNumberFormat="0" applyAlignment="0" applyProtection="0"/>
    <xf numFmtId="0" fontId="1" fillId="16" borderId="9" applyNumberFormat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16" applyNumberFormat="0" applyAlignment="0" applyProtection="0"/>
    <xf numFmtId="0" fontId="1" fillId="29" borderId="16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4">
    <xf numFmtId="0" fontId="0" fillId="0" borderId="0" xfId="0"/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left" vertical="center"/>
    </xf>
    <xf numFmtId="0" fontId="18" fillId="2" borderId="1" xfId="0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7" fillId="2" borderId="0" xfId="2" applyFont="1" applyFill="1" applyAlignment="1">
      <alignment horizontal="left" vertical="center"/>
    </xf>
    <xf numFmtId="0" fontId="17" fillId="0" borderId="0" xfId="2" applyFont="1" applyAlignment="1">
      <alignment horizontal="center" vertical="center" wrapText="1"/>
    </xf>
    <xf numFmtId="2" fontId="17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35" fillId="0" borderId="0" xfId="2" applyFont="1" applyAlignment="1">
      <alignment horizontal="center" vertical="center" wrapText="1"/>
    </xf>
    <xf numFmtId="1" fontId="8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2" fontId="7" fillId="0" borderId="0" xfId="2" applyNumberFormat="1" applyFont="1" applyAlignment="1">
      <alignment horizontal="center" vertical="center" wrapText="1"/>
    </xf>
    <xf numFmtId="2" fontId="36" fillId="0" borderId="0" xfId="7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14" fillId="0" borderId="0" xfId="2" applyFont="1" applyAlignment="1">
      <alignment horizontal="center" vertical="center" wrapText="1"/>
    </xf>
    <xf numFmtId="1" fontId="10" fillId="0" borderId="0" xfId="2" applyNumberFormat="1" applyFont="1" applyAlignment="1">
      <alignment horizontal="center" vertical="center" wrapText="1"/>
    </xf>
    <xf numFmtId="0" fontId="38" fillId="0" borderId="0" xfId="2" applyFont="1" applyAlignment="1">
      <alignment horizontal="center" vertical="center" wrapText="1"/>
    </xf>
    <xf numFmtId="0" fontId="37" fillId="0" borderId="0" xfId="2" applyFont="1" applyAlignment="1">
      <alignment horizontal="center" vertical="center" wrapText="1"/>
    </xf>
    <xf numFmtId="1" fontId="13" fillId="0" borderId="0" xfId="2" applyNumberFormat="1" applyFont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2" fontId="11" fillId="0" borderId="0" xfId="2" applyNumberFormat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2" fontId="14" fillId="0" borderId="0" xfId="2" applyNumberFormat="1" applyFont="1" applyAlignment="1">
      <alignment horizontal="center" vertical="center" wrapText="1"/>
    </xf>
    <xf numFmtId="0" fontId="8" fillId="33" borderId="1" xfId="2" applyFont="1" applyFill="1" applyBorder="1" applyAlignment="1">
      <alignment horizontal="center" vertical="center" wrapText="1"/>
    </xf>
    <xf numFmtId="2" fontId="8" fillId="33" borderId="1" xfId="2" applyNumberFormat="1" applyFont="1" applyFill="1" applyBorder="1" applyAlignment="1">
      <alignment horizontal="center" vertical="center" wrapText="1"/>
    </xf>
    <xf numFmtId="2" fontId="8" fillId="0" borderId="0" xfId="2" applyNumberFormat="1" applyFont="1" applyAlignment="1">
      <alignment horizontal="center" vertical="center" wrapText="1"/>
    </xf>
    <xf numFmtId="4" fontId="7" fillId="0" borderId="1" xfId="3584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2" fontId="7" fillId="2" borderId="1" xfId="2" applyNumberFormat="1" applyFont="1" applyFill="1" applyBorder="1" applyAlignment="1">
      <alignment horizontal="center" vertical="center" wrapText="1"/>
    </xf>
    <xf numFmtId="3" fontId="7" fillId="0" borderId="1" xfId="3584" applyNumberFormat="1" applyFont="1" applyFill="1" applyBorder="1" applyAlignment="1">
      <alignment horizontal="center" vertical="center" wrapText="1"/>
    </xf>
    <xf numFmtId="0" fontId="7" fillId="33" borderId="1" xfId="2" applyFont="1" applyFill="1" applyBorder="1" applyAlignment="1">
      <alignment horizontal="center" vertical="center" wrapText="1"/>
    </xf>
    <xf numFmtId="2" fontId="7" fillId="33" borderId="1" xfId="2" applyNumberFormat="1" applyFont="1" applyFill="1" applyBorder="1" applyAlignment="1">
      <alignment horizontal="center" vertical="center" wrapText="1"/>
    </xf>
    <xf numFmtId="3" fontId="7" fillId="33" borderId="1" xfId="3584" applyNumberFormat="1" applyFont="1" applyFill="1" applyBorder="1" applyAlignment="1">
      <alignment horizontal="center" vertical="center" wrapText="1"/>
    </xf>
    <xf numFmtId="3" fontId="7" fillId="0" borderId="6" xfId="3584" applyNumberFormat="1" applyFont="1" applyFill="1" applyBorder="1" applyAlignment="1">
      <alignment horizontal="center" vertical="center" wrapText="1"/>
    </xf>
    <xf numFmtId="3" fontId="7" fillId="33" borderId="6" xfId="3584" applyNumberFormat="1" applyFont="1" applyFill="1" applyBorder="1" applyAlignment="1">
      <alignment horizontal="center" vertical="center" wrapText="1"/>
    </xf>
    <xf numFmtId="2" fontId="7" fillId="2" borderId="6" xfId="2" applyNumberFormat="1" applyFont="1" applyFill="1" applyBorder="1" applyAlignment="1">
      <alignment horizontal="center" vertical="center" wrapText="1"/>
    </xf>
    <xf numFmtId="2" fontId="13" fillId="0" borderId="6" xfId="2" applyNumberFormat="1" applyFont="1" applyBorder="1" applyAlignment="1">
      <alignment horizontal="center" vertical="center" wrapText="1"/>
    </xf>
    <xf numFmtId="3" fontId="13" fillId="0" borderId="6" xfId="3584" applyNumberFormat="1" applyFont="1" applyBorder="1" applyAlignment="1">
      <alignment horizontal="center" vertical="center" wrapText="1"/>
    </xf>
    <xf numFmtId="0" fontId="40" fillId="0" borderId="0" xfId="2" applyFont="1" applyAlignment="1">
      <alignment horizontal="center" vertical="center" wrapText="1"/>
    </xf>
    <xf numFmtId="3" fontId="7" fillId="0" borderId="0" xfId="3584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right" vertical="top"/>
    </xf>
    <xf numFmtId="0" fontId="12" fillId="0" borderId="1" xfId="2" applyFont="1" applyBorder="1" applyAlignment="1">
      <alignment horizontal="left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0" fontId="11" fillId="2" borderId="0" xfId="0" applyFont="1" applyFill="1"/>
    <xf numFmtId="0" fontId="10" fillId="2" borderId="0" xfId="0" applyFont="1" applyFill="1"/>
    <xf numFmtId="0" fontId="18" fillId="2" borderId="0" xfId="0" applyFont="1" applyFill="1"/>
    <xf numFmtId="0" fontId="10" fillId="2" borderId="0" xfId="0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2" fontId="16" fillId="2" borderId="0" xfId="0" applyNumberFormat="1" applyFont="1" applyFill="1"/>
    <xf numFmtId="0" fontId="11" fillId="2" borderId="0" xfId="0" applyFont="1" applyFill="1" applyAlignment="1">
      <alignment horizontal="center"/>
    </xf>
    <xf numFmtId="3" fontId="11" fillId="0" borderId="0" xfId="2" applyNumberFormat="1" applyFont="1" applyAlignment="1">
      <alignment horizontal="center" vertical="center" wrapText="1"/>
    </xf>
    <xf numFmtId="0" fontId="41" fillId="2" borderId="3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 wrapText="1"/>
    </xf>
    <xf numFmtId="0" fontId="41" fillId="2" borderId="3" xfId="0" quotePrefix="1" applyFont="1" applyFill="1" applyBorder="1" applyAlignment="1">
      <alignment horizontal="left" vertical="center"/>
    </xf>
    <xf numFmtId="0" fontId="41" fillId="2" borderId="3" xfId="0" applyFont="1" applyFill="1" applyBorder="1" applyAlignment="1">
      <alignment horizontal="left" vertical="center" wrapText="1"/>
    </xf>
    <xf numFmtId="0" fontId="41" fillId="2" borderId="5" xfId="0" applyFont="1" applyFill="1" applyBorder="1" applyAlignment="1">
      <alignment horizontal="left" vertical="center" wrapText="1"/>
    </xf>
    <xf numFmtId="1" fontId="41" fillId="2" borderId="5" xfId="0" applyNumberFormat="1" applyFont="1" applyFill="1" applyBorder="1" applyAlignment="1">
      <alignment horizontal="center" vertical="center" wrapText="1"/>
    </xf>
    <xf numFmtId="10" fontId="18" fillId="2" borderId="0" xfId="0" applyNumberFormat="1" applyFont="1" applyFill="1"/>
    <xf numFmtId="0" fontId="18" fillId="2" borderId="0" xfId="0" applyFont="1" applyFill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vertical="center" wrapText="1"/>
    </xf>
    <xf numFmtId="0" fontId="18" fillId="2" borderId="5" xfId="0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>
      <alignment horizontal="center" vertical="center" wrapText="1"/>
    </xf>
    <xf numFmtId="1" fontId="18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9" fontId="44" fillId="2" borderId="0" xfId="6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2" fontId="18" fillId="2" borderId="3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left" vertical="center" wrapText="1"/>
    </xf>
    <xf numFmtId="2" fontId="43" fillId="2" borderId="3" xfId="0" applyNumberFormat="1" applyFont="1" applyFill="1" applyBorder="1" applyAlignment="1">
      <alignment horizontal="center" vertical="center"/>
    </xf>
    <xf numFmtId="2" fontId="18" fillId="2" borderId="1" xfId="0" quotePrefix="1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2" fontId="18" fillId="2" borderId="3" xfId="0" applyNumberFormat="1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2" fontId="18" fillId="2" borderId="7" xfId="0" applyNumberFormat="1" applyFont="1" applyFill="1" applyBorder="1" applyAlignment="1">
      <alignment horizontal="center" vertical="center" wrapText="1"/>
    </xf>
    <xf numFmtId="2" fontId="18" fillId="2" borderId="2" xfId="0" quotePrefix="1" applyNumberFormat="1" applyFont="1" applyFill="1" applyBorder="1" applyAlignment="1">
      <alignment horizontal="center" vertical="center" wrapText="1"/>
    </xf>
    <xf numFmtId="0" fontId="7" fillId="33" borderId="3" xfId="2" applyFont="1" applyFill="1" applyBorder="1" applyAlignment="1">
      <alignment vertical="center"/>
    </xf>
    <xf numFmtId="3" fontId="13" fillId="0" borderId="1" xfId="3584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40" fillId="0" borderId="3" xfId="2" applyFont="1" applyBorder="1" applyAlignment="1">
      <alignment vertical="center" wrapText="1"/>
    </xf>
    <xf numFmtId="0" fontId="40" fillId="0" borderId="6" xfId="2" applyFont="1" applyBorder="1" applyAlignment="1">
      <alignment vertical="center" wrapText="1"/>
    </xf>
    <xf numFmtId="0" fontId="7" fillId="2" borderId="3" xfId="2" applyFont="1" applyFill="1" applyBorder="1" applyAlignment="1">
      <alignment vertical="center" wrapText="1"/>
    </xf>
    <xf numFmtId="0" fontId="7" fillId="2" borderId="6" xfId="2" applyFont="1" applyFill="1" applyBorder="1" applyAlignment="1">
      <alignment vertical="center" wrapText="1"/>
    </xf>
    <xf numFmtId="0" fontId="13" fillId="0" borderId="0" xfId="2" applyFont="1" applyAlignment="1">
      <alignment horizontal="center" vertical="center" wrapText="1"/>
    </xf>
    <xf numFmtId="0" fontId="7" fillId="33" borderId="3" xfId="2" applyFont="1" applyFill="1" applyBorder="1" applyAlignment="1">
      <alignment vertical="center" wrapText="1"/>
    </xf>
    <xf numFmtId="0" fontId="7" fillId="33" borderId="6" xfId="2" applyFont="1" applyFill="1" applyBorder="1" applyAlignment="1">
      <alignment vertical="center" wrapText="1"/>
    </xf>
    <xf numFmtId="0" fontId="8" fillId="33" borderId="3" xfId="2" applyFont="1" applyFill="1" applyBorder="1" applyAlignment="1">
      <alignment vertical="center" wrapText="1"/>
    </xf>
    <xf numFmtId="0" fontId="8" fillId="33" borderId="6" xfId="2" applyFont="1" applyFill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3" fillId="0" borderId="1" xfId="2" applyFont="1" applyBorder="1" applyAlignment="1">
      <alignment horizontal="right" vertical="top"/>
    </xf>
    <xf numFmtId="4" fontId="13" fillId="0" borderId="1" xfId="3584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top"/>
    </xf>
    <xf numFmtId="0" fontId="45" fillId="2" borderId="0" xfId="0" applyFont="1" applyFill="1" applyAlignment="1">
      <alignment vertical="center"/>
    </xf>
    <xf numFmtId="0" fontId="41" fillId="2" borderId="3" xfId="0" quotePrefix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1" fillId="2" borderId="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42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3" fontId="18" fillId="2" borderId="1" xfId="4386" applyNumberFormat="1" applyFont="1" applyFill="1" applyBorder="1" applyAlignment="1">
      <alignment horizontal="center" vertical="center" wrapText="1"/>
    </xf>
    <xf numFmtId="0" fontId="18" fillId="2" borderId="2" xfId="0" quotePrefix="1" applyFont="1" applyFill="1" applyBorder="1" applyAlignment="1">
      <alignment horizontal="center" vertical="center" wrapText="1"/>
    </xf>
    <xf numFmtId="4" fontId="18" fillId="2" borderId="1" xfId="4386" applyNumberFormat="1" applyFont="1" applyFill="1" applyBorder="1" applyAlignment="1">
      <alignment horizontal="center" vertical="center" wrapText="1"/>
    </xf>
    <xf numFmtId="3" fontId="43" fillId="2" borderId="1" xfId="4386" applyNumberFormat="1" applyFont="1" applyFill="1" applyBorder="1" applyAlignment="1">
      <alignment horizontal="center" vertical="center" wrapText="1"/>
    </xf>
    <xf numFmtId="3" fontId="18" fillId="2" borderId="5" xfId="4386" applyNumberFormat="1" applyFont="1" applyFill="1" applyBorder="1" applyAlignment="1">
      <alignment horizontal="center" vertical="center" wrapText="1"/>
    </xf>
    <xf numFmtId="3" fontId="46" fillId="2" borderId="0" xfId="4386" applyNumberFormat="1" applyFont="1" applyFill="1" applyBorder="1" applyAlignment="1">
      <alignment horizontal="center" vertical="center" wrapText="1"/>
    </xf>
    <xf numFmtId="3" fontId="18" fillId="2" borderId="0" xfId="4386" applyNumberFormat="1" applyFont="1" applyFill="1" applyBorder="1" applyAlignment="1">
      <alignment horizontal="center" vertical="center" wrapText="1"/>
    </xf>
    <xf numFmtId="10" fontId="45" fillId="2" borderId="0" xfId="3596" applyNumberFormat="1" applyFont="1" applyFill="1" applyBorder="1"/>
    <xf numFmtId="0" fontId="4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 wrapText="1"/>
    </xf>
    <xf numFmtId="3" fontId="45" fillId="2" borderId="0" xfId="4386" applyNumberFormat="1" applyFont="1" applyFill="1" applyBorder="1" applyAlignment="1">
      <alignment horizontal="center" vertical="center" wrapText="1"/>
    </xf>
    <xf numFmtId="9" fontId="18" fillId="2" borderId="0" xfId="3596" applyFont="1" applyFill="1"/>
    <xf numFmtId="0" fontId="41" fillId="2" borderId="0" xfId="0" applyFont="1" applyFill="1" applyAlignment="1">
      <alignment horizontal="left" vertical="center"/>
    </xf>
    <xf numFmtId="1" fontId="41" fillId="2" borderId="0" xfId="0" applyNumberFormat="1" applyFont="1" applyFill="1" applyAlignment="1">
      <alignment horizontal="center" vertical="center" wrapText="1"/>
    </xf>
    <xf numFmtId="0" fontId="41" fillId="2" borderId="0" xfId="0" quotePrefix="1" applyFont="1" applyFill="1" applyAlignment="1">
      <alignment horizontal="center" vertical="center"/>
    </xf>
    <xf numFmtId="3" fontId="41" fillId="2" borderId="0" xfId="4386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left" vertical="center"/>
    </xf>
    <xf numFmtId="3" fontId="41" fillId="2" borderId="1" xfId="4386" applyNumberFormat="1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 wrapText="1"/>
    </xf>
    <xf numFmtId="1" fontId="1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" fontId="8" fillId="2" borderId="0" xfId="4386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top"/>
    </xf>
    <xf numFmtId="0" fontId="16" fillId="2" borderId="0" xfId="2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2" applyFont="1" applyFill="1" applyAlignment="1">
      <alignment horizontal="left" vertical="center"/>
    </xf>
    <xf numFmtId="3" fontId="44" fillId="2" borderId="0" xfId="4386" applyNumberFormat="1" applyFont="1" applyFill="1" applyBorder="1" applyAlignment="1">
      <alignment horizontal="center" vertical="center" wrapText="1"/>
    </xf>
    <xf numFmtId="0" fontId="44" fillId="2" borderId="0" xfId="0" applyFont="1" applyFill="1"/>
    <xf numFmtId="9" fontId="44" fillId="2" borderId="0" xfId="0" applyNumberFormat="1" applyFont="1" applyFill="1"/>
    <xf numFmtId="0" fontId="44" fillId="2" borderId="1" xfId="0" quotePrefix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/>
    </xf>
    <xf numFmtId="0" fontId="15" fillId="2" borderId="0" xfId="2" applyFont="1" applyFill="1"/>
    <xf numFmtId="0" fontId="47" fillId="2" borderId="0" xfId="0" applyFont="1" applyFill="1" applyAlignment="1">
      <alignment horizontal="center" vertical="center" wrapText="1"/>
    </xf>
    <xf numFmtId="3" fontId="44" fillId="2" borderId="0" xfId="4386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3" fontId="18" fillId="33" borderId="1" xfId="4386" applyNumberFormat="1" applyFont="1" applyFill="1" applyBorder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3" fontId="10" fillId="0" borderId="0" xfId="3584" applyNumberFormat="1" applyFont="1" applyBorder="1" applyAlignment="1">
      <alignment horizontal="center" vertical="center" wrapText="1"/>
    </xf>
    <xf numFmtId="3" fontId="8" fillId="0" borderId="0" xfId="2" applyNumberFormat="1" applyFont="1" applyAlignment="1">
      <alignment vertical="center" wrapText="1"/>
    </xf>
    <xf numFmtId="3" fontId="10" fillId="0" borderId="0" xfId="2" applyNumberFormat="1" applyFont="1" applyAlignment="1">
      <alignment horizontal="center" vertical="center" wrapText="1"/>
    </xf>
    <xf numFmtId="165" fontId="7" fillId="2" borderId="1" xfId="2" applyNumberFormat="1" applyFont="1" applyFill="1" applyBorder="1" applyAlignment="1">
      <alignment horizontal="center" vertical="center" wrapText="1"/>
    </xf>
    <xf numFmtId="3" fontId="7" fillId="0" borderId="1" xfId="4386" applyNumberFormat="1" applyFont="1" applyFill="1" applyBorder="1" applyAlignment="1">
      <alignment horizontal="center" vertical="center" wrapText="1"/>
    </xf>
    <xf numFmtId="3" fontId="7" fillId="33" borderId="1" xfId="4386" applyNumberFormat="1" applyFont="1" applyFill="1" applyBorder="1" applyAlignment="1">
      <alignment horizontal="center" vertical="center" wrapText="1"/>
    </xf>
    <xf numFmtId="3" fontId="7" fillId="0" borderId="6" xfId="4386" applyNumberFormat="1" applyFont="1" applyFill="1" applyBorder="1" applyAlignment="1">
      <alignment horizontal="center" vertical="center" wrapText="1"/>
    </xf>
    <xf numFmtId="3" fontId="7" fillId="33" borderId="6" xfId="4386" applyNumberFormat="1" applyFont="1" applyFill="1" applyBorder="1" applyAlignment="1">
      <alignment horizontal="center" vertical="center" wrapText="1"/>
    </xf>
    <xf numFmtId="3" fontId="13" fillId="0" borderId="6" xfId="4386" applyNumberFormat="1" applyFont="1" applyBorder="1" applyAlignment="1">
      <alignment horizontal="center" vertical="center" wrapText="1"/>
    </xf>
    <xf numFmtId="3" fontId="7" fillId="0" borderId="0" xfId="4386" applyNumberFormat="1" applyFont="1" applyBorder="1" applyAlignment="1">
      <alignment horizontal="center" vertical="center" wrapText="1"/>
    </xf>
    <xf numFmtId="4" fontId="7" fillId="0" borderId="1" xfId="4386" applyNumberFormat="1" applyFont="1" applyFill="1" applyBorder="1" applyAlignment="1">
      <alignment horizontal="center" vertical="center"/>
    </xf>
    <xf numFmtId="4" fontId="13" fillId="0" borderId="1" xfId="4386" applyNumberFormat="1" applyFont="1" applyFill="1" applyBorder="1" applyAlignment="1">
      <alignment horizontal="center" vertical="center"/>
    </xf>
    <xf numFmtId="3" fontId="13" fillId="0" borderId="1" xfId="4386" applyNumberFormat="1" applyFont="1" applyBorder="1" applyAlignment="1">
      <alignment horizontal="center" vertical="center" wrapText="1"/>
    </xf>
    <xf numFmtId="167" fontId="10" fillId="0" borderId="18" xfId="2" applyNumberFormat="1" applyFont="1" applyBorder="1" applyAlignment="1">
      <alignment horizontal="center" vertical="center" wrapText="1"/>
    </xf>
    <xf numFmtId="165" fontId="10" fillId="0" borderId="18" xfId="2" applyNumberFormat="1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 wrapText="1"/>
    </xf>
    <xf numFmtId="2" fontId="7" fillId="2" borderId="22" xfId="2" applyNumberFormat="1" applyFont="1" applyFill="1" applyBorder="1" applyAlignment="1">
      <alignment horizontal="center" vertical="center" wrapText="1"/>
    </xf>
    <xf numFmtId="168" fontId="10" fillId="0" borderId="23" xfId="2" applyNumberFormat="1" applyFont="1" applyBorder="1" applyAlignment="1">
      <alignment horizontal="center" vertical="center" wrapText="1"/>
    </xf>
    <xf numFmtId="2" fontId="7" fillId="33" borderId="24" xfId="2" applyNumberFormat="1" applyFont="1" applyFill="1" applyBorder="1" applyAlignment="1">
      <alignment horizontal="center" vertical="center" wrapText="1"/>
    </xf>
    <xf numFmtId="167" fontId="10" fillId="0" borderId="25" xfId="2" applyNumberFormat="1" applyFont="1" applyBorder="1" applyAlignment="1">
      <alignment horizontal="center" vertical="center" wrapText="1"/>
    </xf>
    <xf numFmtId="165" fontId="10" fillId="0" borderId="25" xfId="2" applyNumberFormat="1" applyFont="1" applyBorder="1" applyAlignment="1">
      <alignment horizontal="center" vertical="center" wrapText="1"/>
    </xf>
    <xf numFmtId="168" fontId="10" fillId="0" borderId="26" xfId="2" applyNumberFormat="1" applyFont="1" applyBorder="1" applyAlignment="1">
      <alignment horizontal="center" vertical="center" wrapText="1"/>
    </xf>
    <xf numFmtId="2" fontId="7" fillId="2" borderId="27" xfId="2" applyNumberFormat="1" applyFont="1" applyFill="1" applyBorder="1" applyAlignment="1">
      <alignment horizontal="center" vertical="center" wrapText="1"/>
    </xf>
    <xf numFmtId="0" fontId="7" fillId="0" borderId="18" xfId="2" applyFont="1" applyBorder="1" applyAlignment="1">
      <alignment horizontal="right" vertical="center" wrapText="1"/>
    </xf>
    <xf numFmtId="0" fontId="11" fillId="0" borderId="28" xfId="2" applyFont="1" applyBorder="1" applyAlignment="1">
      <alignment vertical="center" wrapText="1"/>
    </xf>
    <xf numFmtId="0" fontId="8" fillId="0" borderId="18" xfId="2" applyFont="1" applyBorder="1" applyAlignment="1">
      <alignment horizontal="center" vertical="center" wrapText="1"/>
    </xf>
    <xf numFmtId="166" fontId="8" fillId="34" borderId="21" xfId="3584" applyNumberFormat="1" applyFont="1" applyFill="1" applyBorder="1" applyAlignment="1">
      <alignment horizontal="center" vertical="center" wrapText="1"/>
    </xf>
    <xf numFmtId="168" fontId="10" fillId="0" borderId="18" xfId="2" applyNumberFormat="1" applyFont="1" applyBorder="1" applyAlignment="1">
      <alignment horizontal="center" vertical="center" wrapText="1"/>
    </xf>
    <xf numFmtId="168" fontId="10" fillId="0" borderId="25" xfId="2" applyNumberFormat="1" applyFont="1" applyBorder="1" applyAlignment="1">
      <alignment horizontal="center" vertical="center" wrapText="1"/>
    </xf>
    <xf numFmtId="168" fontId="8" fillId="0" borderId="0" xfId="2" applyNumberFormat="1" applyFont="1" applyAlignment="1">
      <alignment horizontal="center" vertical="center" wrapText="1"/>
    </xf>
    <xf numFmtId="3" fontId="13" fillId="0" borderId="6" xfId="3584" applyNumberFormat="1" applyFont="1" applyBorder="1" applyAlignment="1">
      <alignment vertical="center" wrapText="1"/>
    </xf>
    <xf numFmtId="1" fontId="11" fillId="0" borderId="0" xfId="2" applyNumberFormat="1" applyFont="1" applyAlignment="1">
      <alignment horizontal="center" vertical="center" wrapText="1"/>
    </xf>
    <xf numFmtId="0" fontId="49" fillId="2" borderId="6" xfId="2" applyFont="1" applyFill="1" applyBorder="1" applyAlignment="1">
      <alignment vertical="center" wrapText="1"/>
    </xf>
    <xf numFmtId="0" fontId="49" fillId="0" borderId="6" xfId="2" applyFont="1" applyBorder="1" applyAlignment="1">
      <alignment vertical="center" wrapText="1"/>
    </xf>
    <xf numFmtId="167" fontId="8" fillId="0" borderId="0" xfId="2" applyNumberFormat="1" applyFont="1" applyAlignment="1">
      <alignment horizontal="center" vertical="center" wrapText="1"/>
    </xf>
    <xf numFmtId="1" fontId="7" fillId="33" borderId="1" xfId="2" applyNumberFormat="1" applyFont="1" applyFill="1" applyBorder="1" applyAlignment="1">
      <alignment horizontal="center" vertical="center" wrapText="1"/>
    </xf>
    <xf numFmtId="4" fontId="13" fillId="0" borderId="6" xfId="3584" applyNumberFormat="1" applyFont="1" applyBorder="1" applyAlignment="1">
      <alignment horizontal="center" vertical="center" wrapText="1"/>
    </xf>
    <xf numFmtId="165" fontId="8" fillId="0" borderId="0" xfId="2" applyNumberFormat="1" applyFont="1" applyAlignment="1">
      <alignment horizontal="center" vertical="center" wrapText="1"/>
    </xf>
    <xf numFmtId="165" fontId="49" fillId="35" borderId="1" xfId="2" applyNumberFormat="1" applyFont="1" applyFill="1" applyBorder="1" applyAlignment="1">
      <alignment horizontal="center" vertical="center" wrapText="1"/>
    </xf>
    <xf numFmtId="2" fontId="49" fillId="35" borderId="1" xfId="2" applyNumberFormat="1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vertical="center"/>
    </xf>
    <xf numFmtId="3" fontId="7" fillId="2" borderId="6" xfId="3584" applyNumberFormat="1" applyFont="1" applyFill="1" applyBorder="1" applyAlignment="1">
      <alignment horizontal="center" vertical="center" wrapText="1"/>
    </xf>
    <xf numFmtId="165" fontId="51" fillId="2" borderId="1" xfId="2" applyNumberFormat="1" applyFont="1" applyFill="1" applyBorder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7" fillId="33" borderId="3" xfId="2" applyFont="1" applyFill="1" applyBorder="1" applyAlignment="1">
      <alignment horizontal="left" vertical="center" wrapText="1"/>
    </xf>
    <xf numFmtId="0" fontId="7" fillId="33" borderId="6" xfId="2" applyFont="1" applyFill="1" applyBorder="1" applyAlignment="1">
      <alignment horizontal="left" vertical="center" wrapText="1"/>
    </xf>
    <xf numFmtId="9" fontId="11" fillId="0" borderId="0" xfId="3596" applyFont="1" applyAlignment="1">
      <alignment horizontal="center" vertical="center" wrapText="1"/>
    </xf>
    <xf numFmtId="0" fontId="11" fillId="0" borderId="0" xfId="3596" applyNumberFormat="1" applyFont="1" applyAlignment="1">
      <alignment horizontal="center" vertical="center" wrapText="1"/>
    </xf>
    <xf numFmtId="43" fontId="11" fillId="0" borderId="0" xfId="2" applyNumberFormat="1" applyFont="1" applyAlignment="1">
      <alignment horizontal="center" vertical="center" wrapText="1"/>
    </xf>
    <xf numFmtId="166" fontId="8" fillId="34" borderId="21" xfId="4386" applyNumberFormat="1" applyFont="1" applyFill="1" applyBorder="1" applyAlignment="1">
      <alignment horizontal="center" vertical="center" wrapText="1"/>
    </xf>
    <xf numFmtId="2" fontId="8" fillId="33" borderId="0" xfId="2" applyNumberFormat="1" applyFont="1" applyFill="1" applyAlignment="1">
      <alignment horizontal="center" vertical="center" wrapText="1"/>
    </xf>
    <xf numFmtId="2" fontId="16" fillId="33" borderId="1" xfId="2" applyNumberFormat="1" applyFont="1" applyFill="1" applyBorder="1" applyAlignment="1">
      <alignment horizontal="center" vertical="center" wrapText="1"/>
    </xf>
    <xf numFmtId="0" fontId="11" fillId="0" borderId="30" xfId="2" applyFont="1" applyBorder="1" applyAlignment="1">
      <alignment vertical="center" wrapText="1"/>
    </xf>
    <xf numFmtId="0" fontId="11" fillId="0" borderId="0" xfId="2" applyFont="1" applyAlignment="1">
      <alignment vertical="center" wrapText="1"/>
    </xf>
    <xf numFmtId="0" fontId="8" fillId="0" borderId="3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169" fontId="15" fillId="0" borderId="6" xfId="4386" applyNumberFormat="1" applyFont="1" applyBorder="1" applyAlignment="1">
      <alignment horizontal="center" vertical="center" wrapText="1"/>
    </xf>
    <xf numFmtId="3" fontId="15" fillId="0" borderId="6" xfId="4386" applyNumberFormat="1" applyFont="1" applyFill="1" applyBorder="1" applyAlignment="1">
      <alignment horizontal="center" vertical="center" wrapText="1"/>
    </xf>
    <xf numFmtId="2" fontId="7" fillId="0" borderId="0" xfId="3596" applyNumberFormat="1" applyFont="1" applyFill="1" applyBorder="1" applyAlignment="1">
      <alignment horizontal="center" vertical="center" wrapText="1"/>
    </xf>
    <xf numFmtId="166" fontId="10" fillId="0" borderId="0" xfId="4386" applyNumberFormat="1" applyFont="1" applyAlignment="1">
      <alignment horizontal="center" vertical="center" wrapText="1"/>
    </xf>
    <xf numFmtId="2" fontId="7" fillId="2" borderId="32" xfId="2" applyNumberFormat="1" applyFont="1" applyFill="1" applyBorder="1" applyAlignment="1">
      <alignment horizontal="center" vertical="center" wrapText="1"/>
    </xf>
    <xf numFmtId="167" fontId="10" fillId="0" borderId="33" xfId="2" applyNumberFormat="1" applyFont="1" applyBorder="1" applyAlignment="1">
      <alignment horizontal="center" vertical="center" wrapText="1"/>
    </xf>
    <xf numFmtId="165" fontId="10" fillId="0" borderId="33" xfId="2" applyNumberFormat="1" applyFont="1" applyBorder="1" applyAlignment="1">
      <alignment horizontal="center" vertical="center" wrapText="1"/>
    </xf>
    <xf numFmtId="168" fontId="10" fillId="0" borderId="33" xfId="2" applyNumberFormat="1" applyFont="1" applyBorder="1" applyAlignment="1">
      <alignment horizontal="center" vertical="center" wrapText="1"/>
    </xf>
    <xf numFmtId="168" fontId="10" fillId="0" borderId="34" xfId="2" applyNumberFormat="1" applyFont="1" applyBorder="1" applyAlignment="1">
      <alignment horizontal="center" vertical="center" wrapText="1"/>
    </xf>
    <xf numFmtId="0" fontId="16" fillId="33" borderId="1" xfId="2" applyFont="1" applyFill="1" applyBorder="1" applyAlignment="1">
      <alignment horizontal="center" vertical="center" wrapText="1"/>
    </xf>
    <xf numFmtId="0" fontId="16" fillId="33" borderId="1" xfId="2" applyFont="1" applyFill="1" applyBorder="1" applyAlignment="1">
      <alignment vertical="center" wrapText="1"/>
    </xf>
    <xf numFmtId="169" fontId="16" fillId="33" borderId="1" xfId="4386" applyNumberFormat="1" applyFont="1" applyFill="1" applyBorder="1" applyAlignment="1">
      <alignment horizontal="center" vertical="center" wrapText="1"/>
    </xf>
    <xf numFmtId="170" fontId="7" fillId="0" borderId="0" xfId="3596" applyNumberFormat="1" applyFont="1" applyFill="1" applyBorder="1" applyAlignment="1">
      <alignment horizontal="center" vertical="center" wrapText="1"/>
    </xf>
    <xf numFmtId="3" fontId="7" fillId="0" borderId="0" xfId="4386" applyNumberFormat="1" applyFont="1" applyFill="1" applyBorder="1" applyAlignment="1">
      <alignment horizontal="center" vertical="center" wrapText="1"/>
    </xf>
    <xf numFmtId="9" fontId="38" fillId="0" borderId="0" xfId="3596" applyFont="1" applyAlignment="1">
      <alignment horizontal="center" vertical="center" wrapText="1"/>
    </xf>
    <xf numFmtId="3" fontId="7" fillId="33" borderId="0" xfId="4386" applyNumberFormat="1" applyFont="1" applyFill="1" applyBorder="1" applyAlignment="1">
      <alignment horizontal="center" vertical="center" wrapText="1"/>
    </xf>
    <xf numFmtId="4" fontId="13" fillId="0" borderId="6" xfId="4386" applyNumberFormat="1" applyFont="1" applyBorder="1" applyAlignment="1">
      <alignment horizontal="center" vertical="center" wrapText="1"/>
    </xf>
    <xf numFmtId="3" fontId="13" fillId="0" borderId="0" xfId="4386" applyNumberFormat="1" applyFont="1" applyBorder="1" applyAlignment="1">
      <alignment horizontal="center" vertical="center" wrapText="1"/>
    </xf>
    <xf numFmtId="3" fontId="13" fillId="0" borderId="6" xfId="4386" applyNumberFormat="1" applyFont="1" applyBorder="1" applyAlignment="1">
      <alignment vertical="center" wrapText="1"/>
    </xf>
    <xf numFmtId="2" fontId="7" fillId="33" borderId="6" xfId="2" applyNumberFormat="1" applyFont="1" applyFill="1" applyBorder="1" applyAlignment="1">
      <alignment horizontal="center" vertical="center" wrapText="1"/>
    </xf>
    <xf numFmtId="169" fontId="16" fillId="33" borderId="29" xfId="4386" applyNumberFormat="1" applyFont="1" applyFill="1" applyBorder="1" applyAlignment="1">
      <alignment horizontal="center" vertical="center" wrapText="1"/>
    </xf>
    <xf numFmtId="3" fontId="15" fillId="0" borderId="1" xfId="4386" applyNumberFormat="1" applyFont="1" applyFill="1" applyBorder="1" applyAlignment="1">
      <alignment horizontal="center" vertical="center" wrapText="1"/>
    </xf>
    <xf numFmtId="0" fontId="17" fillId="0" borderId="0" xfId="2" applyFont="1" applyAlignment="1">
      <alignment vertical="center"/>
    </xf>
    <xf numFmtId="165" fontId="15" fillId="0" borderId="1" xfId="2" applyNumberFormat="1" applyFont="1" applyBorder="1" applyAlignment="1">
      <alignment horizontal="center" vertical="center" wrapText="1"/>
    </xf>
    <xf numFmtId="2" fontId="16" fillId="33" borderId="29" xfId="2" applyNumberFormat="1" applyFont="1" applyFill="1" applyBorder="1" applyAlignment="1">
      <alignment horizontal="center" vertical="center" wrapText="1"/>
    </xf>
    <xf numFmtId="165" fontId="15" fillId="0" borderId="1" xfId="3596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12" fillId="0" borderId="0" xfId="2" applyFont="1" applyAlignment="1">
      <alignment vertical="center" wrapText="1"/>
    </xf>
    <xf numFmtId="4" fontId="13" fillId="0" borderId="0" xfId="4386" applyNumberFormat="1" applyFont="1" applyBorder="1" applyAlignment="1">
      <alignment horizontal="center" vertical="center" wrapText="1"/>
    </xf>
    <xf numFmtId="3" fontId="13" fillId="0" borderId="0" xfId="4386" applyNumberFormat="1" applyFont="1" applyBorder="1" applyAlignment="1">
      <alignment vertical="center" wrapText="1"/>
    </xf>
    <xf numFmtId="4" fontId="15" fillId="0" borderId="1" xfId="4386" applyNumberFormat="1" applyFont="1" applyFill="1" applyBorder="1" applyAlignment="1">
      <alignment horizontal="center" vertical="center" wrapText="1"/>
    </xf>
    <xf numFmtId="4" fontId="16" fillId="33" borderId="1" xfId="4386" applyNumberFormat="1" applyFont="1" applyFill="1" applyBorder="1" applyAlignment="1">
      <alignment horizontal="center" vertical="center" wrapText="1"/>
    </xf>
    <xf numFmtId="2" fontId="15" fillId="0" borderId="1" xfId="2" applyNumberFormat="1" applyFont="1" applyBorder="1" applyAlignment="1">
      <alignment horizontal="center" vertical="center" wrapText="1"/>
    </xf>
    <xf numFmtId="2" fontId="16" fillId="33" borderId="0" xfId="2" applyNumberFormat="1" applyFont="1" applyFill="1" applyAlignment="1">
      <alignment horizontal="center" vertical="center" wrapText="1"/>
    </xf>
    <xf numFmtId="3" fontId="15" fillId="0" borderId="0" xfId="4386" applyNumberFormat="1" applyFont="1" applyFill="1" applyBorder="1" applyAlignment="1">
      <alignment horizontal="center" vertical="center" wrapText="1"/>
    </xf>
    <xf numFmtId="169" fontId="16" fillId="33" borderId="0" xfId="4386" applyNumberFormat="1" applyFont="1" applyFill="1" applyBorder="1" applyAlignment="1">
      <alignment horizontal="center" vertical="center" wrapText="1"/>
    </xf>
    <xf numFmtId="166" fontId="8" fillId="34" borderId="0" xfId="3584" applyNumberFormat="1" applyFont="1" applyFill="1" applyBorder="1" applyAlignment="1">
      <alignment horizontal="center" vertical="center" wrapText="1"/>
    </xf>
    <xf numFmtId="168" fontId="10" fillId="0" borderId="0" xfId="2" applyNumberFormat="1" applyFont="1" applyAlignment="1">
      <alignment horizontal="center" vertical="center" wrapText="1"/>
    </xf>
    <xf numFmtId="2" fontId="16" fillId="34" borderId="1" xfId="2" applyNumberFormat="1" applyFont="1" applyFill="1" applyBorder="1" applyAlignment="1">
      <alignment horizontal="center" vertical="center" wrapText="1"/>
    </xf>
    <xf numFmtId="2" fontId="51" fillId="2" borderId="1" xfId="2" applyNumberFormat="1" applyFont="1" applyFill="1" applyBorder="1" applyAlignment="1">
      <alignment horizontal="center" vertical="center" wrapText="1"/>
    </xf>
    <xf numFmtId="3" fontId="8" fillId="0" borderId="0" xfId="2" applyNumberFormat="1" applyFont="1" applyAlignment="1">
      <alignment horizontal="center" vertical="center" wrapText="1"/>
    </xf>
    <xf numFmtId="169" fontId="8" fillId="0" borderId="0" xfId="2" applyNumberFormat="1" applyFont="1" applyAlignment="1">
      <alignment horizontal="center" vertical="center" wrapText="1"/>
    </xf>
    <xf numFmtId="9" fontId="8" fillId="0" borderId="0" xfId="6" applyFont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2" fontId="8" fillId="0" borderId="0" xfId="2" applyNumberFormat="1" applyFont="1" applyAlignment="1">
      <alignment vertical="center" wrapText="1"/>
    </xf>
    <xf numFmtId="171" fontId="10" fillId="0" borderId="0" xfId="2" applyNumberFormat="1" applyFont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 wrapText="1"/>
    </xf>
    <xf numFmtId="9" fontId="10" fillId="0" borderId="0" xfId="6" applyFont="1" applyAlignment="1">
      <alignment horizontal="center" vertical="center" wrapText="1"/>
    </xf>
    <xf numFmtId="172" fontId="8" fillId="0" borderId="0" xfId="2" applyNumberFormat="1" applyFont="1" applyAlignment="1">
      <alignment vertical="center" wrapText="1"/>
    </xf>
    <xf numFmtId="1" fontId="7" fillId="33" borderId="6" xfId="2" applyNumberFormat="1" applyFont="1" applyFill="1" applyBorder="1" applyAlignment="1">
      <alignment horizontal="center" vertical="center" wrapText="1"/>
    </xf>
    <xf numFmtId="173" fontId="15" fillId="0" borderId="1" xfId="4386" applyNumberFormat="1" applyFont="1" applyFill="1" applyBorder="1" applyAlignment="1">
      <alignment horizontal="center" vertical="center" wrapText="1"/>
    </xf>
    <xf numFmtId="169" fontId="40" fillId="0" borderId="0" xfId="2" applyNumberFormat="1" applyFont="1" applyAlignment="1">
      <alignment horizontal="center" vertical="center" wrapText="1"/>
    </xf>
    <xf numFmtId="164" fontId="10" fillId="0" borderId="0" xfId="3584" applyFont="1" applyAlignment="1">
      <alignment horizontal="center" vertical="center" wrapText="1"/>
    </xf>
    <xf numFmtId="165" fontId="7" fillId="33" borderId="6" xfId="2" applyNumberFormat="1" applyFont="1" applyFill="1" applyBorder="1" applyAlignment="1">
      <alignment horizontal="center" vertical="center" wrapText="1"/>
    </xf>
    <xf numFmtId="166" fontId="16" fillId="33" borderId="1" xfId="3584" applyNumberFormat="1" applyFont="1" applyFill="1" applyBorder="1" applyAlignment="1">
      <alignment vertical="center" wrapText="1"/>
    </xf>
    <xf numFmtId="1" fontId="12" fillId="0" borderId="0" xfId="2" applyNumberFormat="1" applyFont="1" applyAlignment="1">
      <alignment vertical="center" wrapText="1"/>
    </xf>
    <xf numFmtId="9" fontId="16" fillId="33" borderId="1" xfId="6" applyFont="1" applyFill="1" applyBorder="1" applyAlignment="1">
      <alignment horizontal="center" vertical="center" wrapText="1"/>
    </xf>
    <xf numFmtId="165" fontId="15" fillId="0" borderId="6" xfId="2" applyNumberFormat="1" applyFont="1" applyBorder="1" applyAlignment="1">
      <alignment horizontal="center" vertical="center" wrapText="1"/>
    </xf>
    <xf numFmtId="165" fontId="15" fillId="0" borderId="6" xfId="3596" applyNumberFormat="1" applyFont="1" applyFill="1" applyBorder="1" applyAlignment="1">
      <alignment horizontal="center" vertical="center" wrapText="1"/>
    </xf>
    <xf numFmtId="174" fontId="16" fillId="33" borderId="1" xfId="4386" applyNumberFormat="1" applyFont="1" applyFill="1" applyBorder="1" applyAlignment="1">
      <alignment horizontal="center" vertical="center" wrapText="1"/>
    </xf>
    <xf numFmtId="2" fontId="52" fillId="33" borderId="1" xfId="2" applyNumberFormat="1" applyFont="1" applyFill="1" applyBorder="1" applyAlignment="1">
      <alignment horizontal="center" vertical="center" wrapText="1"/>
    </xf>
    <xf numFmtId="169" fontId="15" fillId="34" borderId="6" xfId="4386" applyNumberFormat="1" applyFont="1" applyFill="1" applyBorder="1" applyAlignment="1">
      <alignment horizontal="center" vertical="center" wrapText="1"/>
    </xf>
    <xf numFmtId="3" fontId="15" fillId="34" borderId="6" xfId="4386" applyNumberFormat="1" applyFont="1" applyFill="1" applyBorder="1" applyAlignment="1">
      <alignment horizontal="center" vertical="center" wrapText="1"/>
    </xf>
    <xf numFmtId="165" fontId="15" fillId="2" borderId="1" xfId="2" applyNumberFormat="1" applyFont="1" applyFill="1" applyBorder="1" applyAlignment="1">
      <alignment horizontal="center" vertical="center" wrapText="1"/>
    </xf>
    <xf numFmtId="165" fontId="15" fillId="2" borderId="6" xfId="2" applyNumberFormat="1" applyFont="1" applyFill="1" applyBorder="1" applyAlignment="1">
      <alignment horizontal="center" vertical="center" wrapText="1"/>
    </xf>
    <xf numFmtId="169" fontId="15" fillId="2" borderId="6" xfId="4386" applyNumberFormat="1" applyFont="1" applyFill="1" applyBorder="1" applyAlignment="1">
      <alignment horizontal="center" vertical="center" wrapText="1"/>
    </xf>
    <xf numFmtId="165" fontId="15" fillId="2" borderId="1" xfId="3596" applyNumberFormat="1" applyFont="1" applyFill="1" applyBorder="1" applyAlignment="1">
      <alignment horizontal="center" vertical="center" wrapText="1"/>
    </xf>
    <xf numFmtId="165" fontId="15" fillId="2" borderId="6" xfId="3596" applyNumberFormat="1" applyFont="1" applyFill="1" applyBorder="1" applyAlignment="1">
      <alignment horizontal="center" vertical="center" wrapText="1"/>
    </xf>
    <xf numFmtId="3" fontId="15" fillId="2" borderId="6" xfId="4386" applyNumberFormat="1" applyFont="1" applyFill="1" applyBorder="1" applyAlignment="1">
      <alignment horizontal="center" vertical="center" wrapText="1"/>
    </xf>
    <xf numFmtId="175" fontId="10" fillId="0" borderId="18" xfId="2" applyNumberFormat="1" applyFont="1" applyBorder="1" applyAlignment="1">
      <alignment horizontal="center" vertical="center" wrapText="1"/>
    </xf>
    <xf numFmtId="0" fontId="15" fillId="2" borderId="1" xfId="2" applyFont="1" applyFill="1" applyBorder="1" applyAlignment="1">
      <alignment vertical="center" wrapText="1"/>
    </xf>
    <xf numFmtId="0" fontId="53" fillId="2" borderId="1" xfId="2" applyFont="1" applyFill="1" applyBorder="1" applyAlignment="1">
      <alignment vertical="center" wrapText="1"/>
    </xf>
    <xf numFmtId="176" fontId="13" fillId="0" borderId="0" xfId="4386" applyNumberFormat="1" applyFont="1" applyBorder="1" applyAlignment="1">
      <alignment horizontal="center" vertical="center" wrapText="1"/>
    </xf>
    <xf numFmtId="172" fontId="15" fillId="2" borderId="6" xfId="3596" applyNumberFormat="1" applyFont="1" applyFill="1" applyBorder="1" applyAlignment="1">
      <alignment horizontal="center" vertical="center" wrapText="1"/>
    </xf>
    <xf numFmtId="165" fontId="16" fillId="33" borderId="29" xfId="2" applyNumberFormat="1" applyFont="1" applyFill="1" applyBorder="1" applyAlignment="1">
      <alignment horizontal="center" vertical="center" wrapText="1"/>
    </xf>
    <xf numFmtId="172" fontId="11" fillId="0" borderId="0" xfId="2" applyNumberFormat="1" applyFont="1" applyAlignment="1">
      <alignment vertical="center" wrapText="1"/>
    </xf>
    <xf numFmtId="176" fontId="7" fillId="0" borderId="0" xfId="4386" applyNumberFormat="1" applyFont="1" applyBorder="1" applyAlignment="1">
      <alignment horizontal="center" vertical="center" wrapText="1"/>
    </xf>
    <xf numFmtId="173" fontId="15" fillId="2" borderId="6" xfId="4386" applyNumberFormat="1" applyFont="1" applyFill="1" applyBorder="1" applyAlignment="1">
      <alignment horizontal="center" vertical="center" wrapText="1"/>
    </xf>
    <xf numFmtId="173" fontId="15" fillId="0" borderId="6" xfId="4386" applyNumberFormat="1" applyFont="1" applyFill="1" applyBorder="1" applyAlignment="1">
      <alignment horizontal="center" vertical="center" wrapText="1"/>
    </xf>
    <xf numFmtId="0" fontId="16" fillId="33" borderId="3" xfId="2" applyFont="1" applyFill="1" applyBorder="1" applyAlignment="1">
      <alignment vertical="center" wrapText="1"/>
    </xf>
    <xf numFmtId="0" fontId="15" fillId="2" borderId="3" xfId="2" applyFont="1" applyFill="1" applyBorder="1" applyAlignment="1">
      <alignment vertical="center" wrapText="1"/>
    </xf>
    <xf numFmtId="0" fontId="53" fillId="2" borderId="3" xfId="2" applyFont="1" applyFill="1" applyBorder="1" applyAlignment="1">
      <alignment vertical="center" wrapText="1"/>
    </xf>
    <xf numFmtId="2" fontId="16" fillId="33" borderId="39" xfId="2" applyNumberFormat="1" applyFont="1" applyFill="1" applyBorder="1" applyAlignment="1">
      <alignment horizontal="center" vertical="center" wrapText="1"/>
    </xf>
    <xf numFmtId="2" fontId="16" fillId="33" borderId="40" xfId="2" applyNumberFormat="1" applyFont="1" applyFill="1" applyBorder="1" applyAlignment="1">
      <alignment horizontal="center" vertical="center" wrapText="1"/>
    </xf>
    <xf numFmtId="174" fontId="15" fillId="2" borderId="39" xfId="4386" applyNumberFormat="1" applyFont="1" applyFill="1" applyBorder="1" applyAlignment="1">
      <alignment horizontal="center" vertical="center" wrapText="1"/>
    </xf>
    <xf numFmtId="173" fontId="15" fillId="0" borderId="40" xfId="4386" applyNumberFormat="1" applyFont="1" applyFill="1" applyBorder="1" applyAlignment="1">
      <alignment horizontal="center" vertical="center" wrapText="1"/>
    </xf>
    <xf numFmtId="174" fontId="15" fillId="0" borderId="39" xfId="4386" applyNumberFormat="1" applyFont="1" applyBorder="1" applyAlignment="1">
      <alignment horizontal="center" vertical="center" wrapText="1"/>
    </xf>
    <xf numFmtId="174" fontId="16" fillId="33" borderId="41" xfId="4386" applyNumberFormat="1" applyFont="1" applyFill="1" applyBorder="1" applyAlignment="1">
      <alignment horizontal="center" vertical="center" wrapText="1"/>
    </xf>
    <xf numFmtId="174" fontId="16" fillId="33" borderId="42" xfId="4386" applyNumberFormat="1" applyFont="1" applyFill="1" applyBorder="1" applyAlignment="1">
      <alignment horizontal="center" vertical="center" wrapText="1"/>
    </xf>
    <xf numFmtId="165" fontId="15" fillId="0" borderId="39" xfId="2" applyNumberFormat="1" applyFont="1" applyBorder="1" applyAlignment="1">
      <alignment horizontal="center" vertical="center" wrapText="1"/>
    </xf>
    <xf numFmtId="177" fontId="16" fillId="33" borderId="43" xfId="4386" applyNumberFormat="1" applyFont="1" applyFill="1" applyBorder="1" applyAlignment="1">
      <alignment horizontal="center" vertical="center" wrapText="1"/>
    </xf>
    <xf numFmtId="1" fontId="13" fillId="0" borderId="0" xfId="4386" applyNumberFormat="1" applyFont="1" applyBorder="1" applyAlignment="1">
      <alignment horizontal="center" vertical="center" wrapText="1"/>
    </xf>
    <xf numFmtId="165" fontId="7" fillId="33" borderId="1" xfId="2" applyNumberFormat="1" applyFont="1" applyFill="1" applyBorder="1" applyAlignment="1">
      <alignment horizontal="center" vertical="center" wrapText="1"/>
    </xf>
    <xf numFmtId="165" fontId="7" fillId="2" borderId="6" xfId="2" applyNumberFormat="1" applyFont="1" applyFill="1" applyBorder="1" applyAlignment="1">
      <alignment horizontal="center" vertical="center" wrapText="1"/>
    </xf>
    <xf numFmtId="173" fontId="7" fillId="33" borderId="6" xfId="3584" applyNumberFormat="1" applyFont="1" applyFill="1" applyBorder="1" applyAlignment="1">
      <alignment horizontal="center" vertical="center" wrapText="1"/>
    </xf>
    <xf numFmtId="0" fontId="39" fillId="0" borderId="0" xfId="2" applyFont="1" applyAlignment="1">
      <alignment horizontal="center" vertical="center"/>
    </xf>
    <xf numFmtId="168" fontId="11" fillId="0" borderId="0" xfId="2" applyNumberFormat="1" applyFont="1" applyAlignment="1">
      <alignment vertical="center" wrapText="1"/>
    </xf>
    <xf numFmtId="174" fontId="15" fillId="2" borderId="6" xfId="4386" applyNumberFormat="1" applyFont="1" applyFill="1" applyBorder="1" applyAlignment="1">
      <alignment horizontal="center" vertical="center" wrapText="1"/>
    </xf>
    <xf numFmtId="4" fontId="13" fillId="0" borderId="1" xfId="4386" applyNumberFormat="1" applyFont="1" applyBorder="1" applyAlignment="1">
      <alignment horizontal="center" vertical="center" wrapText="1"/>
    </xf>
    <xf numFmtId="0" fontId="56" fillId="0" borderId="0" xfId="2" applyFont="1" applyAlignment="1">
      <alignment horizontal="center" vertical="center" wrapText="1"/>
    </xf>
    <xf numFmtId="2" fontId="56" fillId="0" borderId="0" xfId="2" applyNumberFormat="1" applyFont="1" applyAlignment="1">
      <alignment horizontal="center" vertical="center" wrapText="1"/>
    </xf>
    <xf numFmtId="0" fontId="57" fillId="0" borderId="0" xfId="2" applyFont="1" applyAlignment="1">
      <alignment horizontal="center" vertical="center" wrapText="1"/>
    </xf>
    <xf numFmtId="0" fontId="59" fillId="0" borderId="0" xfId="2" applyFont="1" applyAlignment="1">
      <alignment horizontal="center" vertical="center" wrapText="1"/>
    </xf>
    <xf numFmtId="2" fontId="59" fillId="0" borderId="0" xfId="2" applyNumberFormat="1" applyFont="1" applyAlignment="1">
      <alignment horizontal="center" vertical="center" wrapText="1"/>
    </xf>
    <xf numFmtId="166" fontId="60" fillId="34" borderId="0" xfId="3584" applyNumberFormat="1" applyFont="1" applyFill="1" applyBorder="1" applyAlignment="1">
      <alignment horizontal="center" vertical="center" wrapText="1"/>
    </xf>
    <xf numFmtId="0" fontId="60" fillId="33" borderId="1" xfId="2" applyFont="1" applyFill="1" applyBorder="1" applyAlignment="1">
      <alignment horizontal="center" vertical="center" wrapText="1"/>
    </xf>
    <xf numFmtId="2" fontId="60" fillId="33" borderId="1" xfId="2" applyNumberFormat="1" applyFont="1" applyFill="1" applyBorder="1" applyAlignment="1">
      <alignment horizontal="center" vertical="center" wrapText="1"/>
    </xf>
    <xf numFmtId="0" fontId="60" fillId="0" borderId="0" xfId="2" applyFont="1" applyAlignment="1">
      <alignment horizontal="center" vertical="center" wrapText="1"/>
    </xf>
    <xf numFmtId="0" fontId="59" fillId="0" borderId="1" xfId="2" applyFont="1" applyBorder="1" applyAlignment="1">
      <alignment horizontal="center" vertical="center" wrapText="1"/>
    </xf>
    <xf numFmtId="0" fontId="59" fillId="0" borderId="3" xfId="2" applyFont="1" applyBorder="1" applyAlignment="1">
      <alignment vertical="center" wrapText="1"/>
    </xf>
    <xf numFmtId="0" fontId="59" fillId="0" borderId="6" xfId="2" applyFont="1" applyBorder="1" applyAlignment="1">
      <alignment vertical="center" wrapText="1"/>
    </xf>
    <xf numFmtId="165" fontId="61" fillId="2" borderId="1" xfId="2" applyNumberFormat="1" applyFont="1" applyFill="1" applyBorder="1" applyAlignment="1">
      <alignment horizontal="center" vertical="center" wrapText="1"/>
    </xf>
    <xf numFmtId="3" fontId="59" fillId="0" borderId="6" xfId="3584" applyNumberFormat="1" applyFont="1" applyFill="1" applyBorder="1" applyAlignment="1">
      <alignment horizontal="center" vertical="center" wrapText="1"/>
    </xf>
    <xf numFmtId="165" fontId="62" fillId="0" borderId="0" xfId="2" applyNumberFormat="1" applyFont="1" applyAlignment="1">
      <alignment horizontal="center" vertical="center" wrapText="1"/>
    </xf>
    <xf numFmtId="168" fontId="62" fillId="0" borderId="0" xfId="2" applyNumberFormat="1" applyFont="1" applyAlignment="1">
      <alignment horizontal="center" vertical="center" wrapText="1"/>
    </xf>
    <xf numFmtId="0" fontId="62" fillId="0" borderId="0" xfId="2" applyFont="1" applyAlignment="1">
      <alignment horizontal="center" vertical="center" wrapText="1"/>
    </xf>
    <xf numFmtId="1" fontId="62" fillId="0" borderId="0" xfId="2" applyNumberFormat="1" applyFont="1" applyAlignment="1">
      <alignment horizontal="center" vertical="center" wrapText="1"/>
    </xf>
    <xf numFmtId="2" fontId="62" fillId="0" borderId="0" xfId="2" applyNumberFormat="1" applyFont="1" applyAlignment="1">
      <alignment horizontal="center" vertical="center" wrapText="1"/>
    </xf>
    <xf numFmtId="0" fontId="59" fillId="33" borderId="1" xfId="2" applyFont="1" applyFill="1" applyBorder="1" applyAlignment="1">
      <alignment horizontal="center" vertical="center" wrapText="1"/>
    </xf>
    <xf numFmtId="0" fontId="59" fillId="33" borderId="3" xfId="2" applyFont="1" applyFill="1" applyBorder="1" applyAlignment="1">
      <alignment vertical="center" wrapText="1"/>
    </xf>
    <xf numFmtId="0" fontId="59" fillId="33" borderId="6" xfId="2" applyFont="1" applyFill="1" applyBorder="1" applyAlignment="1">
      <alignment vertical="center" wrapText="1"/>
    </xf>
    <xf numFmtId="165" fontId="59" fillId="33" borderId="6" xfId="2" applyNumberFormat="1" applyFont="1" applyFill="1" applyBorder="1" applyAlignment="1">
      <alignment horizontal="center" vertical="center" wrapText="1"/>
    </xf>
    <xf numFmtId="3" fontId="59" fillId="33" borderId="6" xfId="3584" applyNumberFormat="1" applyFont="1" applyFill="1" applyBorder="1" applyAlignment="1">
      <alignment horizontal="center" vertical="center" wrapText="1"/>
    </xf>
    <xf numFmtId="171" fontId="62" fillId="0" borderId="0" xfId="2" applyNumberFormat="1" applyFont="1" applyAlignment="1">
      <alignment horizontal="center" vertical="center" wrapText="1"/>
    </xf>
    <xf numFmtId="1" fontId="60" fillId="0" borderId="0" xfId="2" applyNumberFormat="1" applyFont="1" applyAlignment="1">
      <alignment horizontal="center" vertical="center" wrapText="1"/>
    </xf>
    <xf numFmtId="3" fontId="60" fillId="0" borderId="0" xfId="2" applyNumberFormat="1" applyFont="1" applyAlignment="1">
      <alignment horizontal="center" vertical="center" wrapText="1"/>
    </xf>
    <xf numFmtId="165" fontId="59" fillId="2" borderId="1" xfId="2" applyNumberFormat="1" applyFont="1" applyFill="1" applyBorder="1" applyAlignment="1">
      <alignment horizontal="center" vertical="center" wrapText="1"/>
    </xf>
    <xf numFmtId="0" fontId="63" fillId="0" borderId="0" xfId="2" applyFont="1" applyAlignment="1">
      <alignment horizontal="center" vertical="center" wrapText="1"/>
    </xf>
    <xf numFmtId="167" fontId="60" fillId="0" borderId="0" xfId="2" applyNumberFormat="1" applyFont="1" applyAlignment="1">
      <alignment horizontal="center" vertical="center" wrapText="1"/>
    </xf>
    <xf numFmtId="165" fontId="59" fillId="33" borderId="1" xfId="2" applyNumberFormat="1" applyFont="1" applyFill="1" applyBorder="1" applyAlignment="1">
      <alignment horizontal="center" vertical="center" wrapText="1"/>
    </xf>
    <xf numFmtId="165" fontId="60" fillId="0" borderId="0" xfId="2" applyNumberFormat="1" applyFont="1" applyAlignment="1">
      <alignment horizontal="center" vertical="center" wrapText="1"/>
    </xf>
    <xf numFmtId="173" fontId="59" fillId="33" borderId="6" xfId="3584" applyNumberFormat="1" applyFont="1" applyFill="1" applyBorder="1" applyAlignment="1">
      <alignment horizontal="center" vertical="center" wrapText="1"/>
    </xf>
    <xf numFmtId="2" fontId="60" fillId="0" borderId="0" xfId="2" applyNumberFormat="1" applyFont="1" applyAlignment="1">
      <alignment horizontal="center" vertical="center" wrapText="1"/>
    </xf>
    <xf numFmtId="1" fontId="59" fillId="33" borderId="1" xfId="2" applyNumberFormat="1" applyFont="1" applyFill="1" applyBorder="1" applyAlignment="1">
      <alignment horizontal="center" vertical="center" wrapText="1"/>
    </xf>
    <xf numFmtId="0" fontId="59" fillId="2" borderId="3" xfId="2" applyFont="1" applyFill="1" applyBorder="1" applyAlignment="1">
      <alignment vertical="center"/>
    </xf>
    <xf numFmtId="0" fontId="59" fillId="2" borderId="6" xfId="2" applyFont="1" applyFill="1" applyBorder="1" applyAlignment="1">
      <alignment vertical="center" wrapText="1"/>
    </xf>
    <xf numFmtId="0" fontId="64" fillId="0" borderId="3" xfId="2" applyFont="1" applyBorder="1" applyAlignment="1">
      <alignment vertical="center" wrapText="1"/>
    </xf>
    <xf numFmtId="0" fontId="64" fillId="0" borderId="6" xfId="2" applyFont="1" applyBorder="1" applyAlignment="1">
      <alignment vertical="center" wrapText="1"/>
    </xf>
    <xf numFmtId="0" fontId="59" fillId="2" borderId="3" xfId="2" applyFont="1" applyFill="1" applyBorder="1" applyAlignment="1">
      <alignment vertical="center" wrapText="1"/>
    </xf>
    <xf numFmtId="165" fontId="59" fillId="2" borderId="6" xfId="2" applyNumberFormat="1" applyFont="1" applyFill="1" applyBorder="1" applyAlignment="1">
      <alignment horizontal="center" vertical="center" wrapText="1"/>
    </xf>
    <xf numFmtId="0" fontId="65" fillId="0" borderId="5" xfId="2" applyFont="1" applyBorder="1" applyAlignment="1">
      <alignment vertical="center" wrapText="1"/>
    </xf>
    <xf numFmtId="0" fontId="65" fillId="0" borderId="6" xfId="2" applyFont="1" applyBorder="1" applyAlignment="1">
      <alignment vertical="center" wrapText="1"/>
    </xf>
    <xf numFmtId="4" fontId="66" fillId="0" borderId="6" xfId="3584" applyNumberFormat="1" applyFont="1" applyBorder="1" applyAlignment="1">
      <alignment horizontal="center" vertical="center" wrapText="1"/>
    </xf>
    <xf numFmtId="3" fontId="66" fillId="0" borderId="6" xfId="3584" applyNumberFormat="1" applyFont="1" applyBorder="1" applyAlignment="1">
      <alignment horizontal="center" vertical="center" wrapText="1"/>
    </xf>
    <xf numFmtId="3" fontId="60" fillId="0" borderId="0" xfId="2" applyNumberFormat="1" applyFont="1" applyAlignment="1">
      <alignment vertical="center" wrapText="1"/>
    </xf>
    <xf numFmtId="172" fontId="60" fillId="0" borderId="0" xfId="2" applyNumberFormat="1" applyFont="1" applyAlignment="1">
      <alignment vertical="center" wrapText="1"/>
    </xf>
    <xf numFmtId="0" fontId="60" fillId="0" borderId="0" xfId="2" applyFont="1" applyAlignment="1">
      <alignment vertical="center" wrapText="1"/>
    </xf>
    <xf numFmtId="0" fontId="64" fillId="0" borderId="0" xfId="2" applyFont="1" applyAlignment="1">
      <alignment horizontal="center" vertical="center" wrapText="1"/>
    </xf>
    <xf numFmtId="3" fontId="59" fillId="0" borderId="0" xfId="3584" applyNumberFormat="1" applyFont="1" applyBorder="1" applyAlignment="1">
      <alignment horizontal="center" vertical="center" wrapText="1"/>
    </xf>
    <xf numFmtId="0" fontId="67" fillId="0" borderId="0" xfId="2" applyFont="1" applyAlignment="1">
      <alignment horizontal="center" vertical="center" wrapText="1"/>
    </xf>
    <xf numFmtId="2" fontId="57" fillId="0" borderId="0" xfId="2" applyNumberFormat="1" applyFont="1" applyAlignment="1">
      <alignment horizontal="center" vertical="center" wrapText="1"/>
    </xf>
    <xf numFmtId="0" fontId="62" fillId="0" borderId="0" xfId="2" applyFont="1" applyAlignment="1">
      <alignment horizontal="left" vertical="center"/>
    </xf>
    <xf numFmtId="0" fontId="68" fillId="0" borderId="0" xfId="2" applyFont="1" applyAlignment="1">
      <alignment horizontal="center" vertical="center" wrapText="1"/>
    </xf>
    <xf numFmtId="0" fontId="69" fillId="0" borderId="0" xfId="2" applyFont="1" applyAlignment="1">
      <alignment horizontal="center" vertical="center" wrapText="1"/>
    </xf>
    <xf numFmtId="0" fontId="60" fillId="0" borderId="0" xfId="2" applyFont="1" applyAlignment="1">
      <alignment horizontal="left" vertical="center"/>
    </xf>
    <xf numFmtId="2" fontId="69" fillId="0" borderId="0" xfId="2" applyNumberFormat="1" applyFont="1" applyAlignment="1">
      <alignment horizontal="center" vertical="center" wrapText="1"/>
    </xf>
    <xf numFmtId="3" fontId="59" fillId="33" borderId="1" xfId="3584" applyNumberFormat="1" applyFont="1" applyFill="1" applyBorder="1" applyAlignment="1">
      <alignment horizontal="center" vertical="center" wrapText="1"/>
    </xf>
    <xf numFmtId="1" fontId="12" fillId="0" borderId="0" xfId="2" applyNumberFormat="1" applyFont="1" applyAlignment="1">
      <alignment horizontal="center" vertical="center" wrapText="1"/>
    </xf>
    <xf numFmtId="0" fontId="8" fillId="0" borderId="44" xfId="2" applyFont="1" applyBorder="1" applyAlignment="1">
      <alignment horizontal="center" vertical="center" wrapText="1"/>
    </xf>
    <xf numFmtId="166" fontId="8" fillId="34" borderId="1" xfId="4386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right" vertical="center" wrapText="1"/>
    </xf>
    <xf numFmtId="174" fontId="55" fillId="34" borderId="6" xfId="4386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8" fillId="33" borderId="3" xfId="2" applyFont="1" applyFill="1" applyBorder="1" applyAlignment="1">
      <alignment horizontal="center" vertical="center" wrapText="1"/>
    </xf>
    <xf numFmtId="0" fontId="8" fillId="33" borderId="6" xfId="2" applyFont="1" applyFill="1" applyBorder="1" applyAlignment="1">
      <alignment horizontal="center" vertical="center" wrapText="1"/>
    </xf>
    <xf numFmtId="0" fontId="7" fillId="33" borderId="3" xfId="2" applyFont="1" applyFill="1" applyBorder="1" applyAlignment="1">
      <alignment horizontal="left" vertical="center" wrapText="1"/>
    </xf>
    <xf numFmtId="0" fontId="7" fillId="33" borderId="6" xfId="2" applyFont="1" applyFill="1" applyBorder="1" applyAlignment="1">
      <alignment horizontal="left" vertical="center" wrapText="1"/>
    </xf>
    <xf numFmtId="0" fontId="39" fillId="0" borderId="0" xfId="2" applyFont="1" applyAlignment="1">
      <alignment horizontal="center" vertical="center"/>
    </xf>
    <xf numFmtId="0" fontId="16" fillId="33" borderId="2" xfId="2" applyFont="1" applyFill="1" applyBorder="1" applyAlignment="1">
      <alignment horizontal="center" vertical="center" wrapText="1"/>
    </xf>
    <xf numFmtId="0" fontId="16" fillId="33" borderId="29" xfId="2" applyFont="1" applyFill="1" applyBorder="1" applyAlignment="1">
      <alignment horizontal="center" vertical="center" wrapText="1"/>
    </xf>
    <xf numFmtId="0" fontId="16" fillId="33" borderId="3" xfId="2" applyFont="1" applyFill="1" applyBorder="1" applyAlignment="1">
      <alignment horizontal="center" vertical="center" wrapText="1"/>
    </xf>
    <xf numFmtId="0" fontId="16" fillId="33" borderId="6" xfId="2" applyFont="1" applyFill="1" applyBorder="1" applyAlignment="1">
      <alignment horizontal="center" vertical="center" wrapText="1"/>
    </xf>
    <xf numFmtId="2" fontId="16" fillId="33" borderId="3" xfId="2" applyNumberFormat="1" applyFont="1" applyFill="1" applyBorder="1" applyAlignment="1">
      <alignment horizontal="center" vertical="center" wrapText="1"/>
    </xf>
    <xf numFmtId="2" fontId="16" fillId="33" borderId="6" xfId="2" applyNumberFormat="1" applyFont="1" applyFill="1" applyBorder="1" applyAlignment="1">
      <alignment horizontal="center" vertical="center" wrapText="1"/>
    </xf>
    <xf numFmtId="2" fontId="16" fillId="33" borderId="1" xfId="2" applyNumberFormat="1" applyFont="1" applyFill="1" applyBorder="1" applyAlignment="1">
      <alignment horizontal="center" vertical="center" wrapText="1"/>
    </xf>
    <xf numFmtId="0" fontId="58" fillId="0" borderId="0" xfId="2" applyFont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60" fillId="33" borderId="3" xfId="2" applyFont="1" applyFill="1" applyBorder="1" applyAlignment="1">
      <alignment horizontal="center" vertical="center" wrapText="1"/>
    </xf>
    <xf numFmtId="0" fontId="60" fillId="33" borderId="6" xfId="2" applyFont="1" applyFill="1" applyBorder="1" applyAlignment="1">
      <alignment horizontal="center" vertical="center" wrapText="1"/>
    </xf>
    <xf numFmtId="0" fontId="59" fillId="33" borderId="3" xfId="2" applyFont="1" applyFill="1" applyBorder="1" applyAlignment="1">
      <alignment horizontal="left" vertical="center" wrapText="1"/>
    </xf>
    <xf numFmtId="0" fontId="59" fillId="33" borderId="6" xfId="2" applyFont="1" applyFill="1" applyBorder="1" applyAlignment="1">
      <alignment horizontal="left" vertical="center" wrapText="1"/>
    </xf>
    <xf numFmtId="3" fontId="59" fillId="33" borderId="3" xfId="3584" applyNumberFormat="1" applyFont="1" applyFill="1" applyBorder="1" applyAlignment="1">
      <alignment horizontal="left" vertical="center" wrapText="1"/>
    </xf>
    <xf numFmtId="3" fontId="59" fillId="33" borderId="6" xfId="3584" applyNumberFormat="1" applyFont="1" applyFill="1" applyBorder="1" applyAlignment="1">
      <alignment horizontal="left" vertical="center" wrapText="1"/>
    </xf>
    <xf numFmtId="3" fontId="7" fillId="33" borderId="3" xfId="3584" applyNumberFormat="1" applyFont="1" applyFill="1" applyBorder="1" applyAlignment="1">
      <alignment horizontal="left" vertical="center" wrapText="1"/>
    </xf>
    <xf numFmtId="3" fontId="7" fillId="33" borderId="6" xfId="3584" applyNumberFormat="1" applyFont="1" applyFill="1" applyBorder="1" applyAlignment="1">
      <alignment horizontal="left" vertical="center" wrapText="1"/>
    </xf>
    <xf numFmtId="0" fontId="16" fillId="33" borderId="5" xfId="2" applyFont="1" applyFill="1" applyBorder="1" applyAlignment="1">
      <alignment horizontal="center" vertical="center" wrapText="1"/>
    </xf>
    <xf numFmtId="2" fontId="16" fillId="33" borderId="5" xfId="2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6" fillId="33" borderId="4" xfId="2" applyFont="1" applyFill="1" applyBorder="1" applyAlignment="1">
      <alignment horizontal="center" vertical="center" wrapText="1"/>
    </xf>
    <xf numFmtId="0" fontId="16" fillId="33" borderId="35" xfId="2" applyFont="1" applyFill="1" applyBorder="1" applyAlignment="1">
      <alignment horizontal="center" vertical="center" wrapText="1"/>
    </xf>
    <xf numFmtId="0" fontId="16" fillId="33" borderId="36" xfId="2" applyFont="1" applyFill="1" applyBorder="1" applyAlignment="1">
      <alignment horizontal="center" vertical="center" wrapText="1"/>
    </xf>
    <xf numFmtId="0" fontId="16" fillId="33" borderId="37" xfId="2" applyFont="1" applyFill="1" applyBorder="1" applyAlignment="1">
      <alignment horizontal="center" vertical="center" wrapText="1"/>
    </xf>
    <xf numFmtId="0" fontId="16" fillId="33" borderId="38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</cellXfs>
  <cellStyles count="4396">
    <cellStyle name="20% - Accent1 2" xfId="32"/>
    <cellStyle name="20% - Accent1 2 2" xfId="33"/>
    <cellStyle name="20% - Accent1 2 3" xfId="3614"/>
    <cellStyle name="20% - Accent1 3" xfId="34"/>
    <cellStyle name="20% - Accent1 3 2" xfId="35"/>
    <cellStyle name="20% - Accent1 4" xfId="36"/>
    <cellStyle name="20% - Accent1 4 2" xfId="3615"/>
    <cellStyle name="20% - Accent1 5" xfId="37"/>
    <cellStyle name="20% - Accent2 2" xfId="38"/>
    <cellStyle name="20% - Accent2 2 2" xfId="39"/>
    <cellStyle name="20% - Accent2 2 3" xfId="3616"/>
    <cellStyle name="20% - Accent2 3" xfId="40"/>
    <cellStyle name="20% - Accent2 3 2" xfId="41"/>
    <cellStyle name="20% - Accent2 4" xfId="42"/>
    <cellStyle name="20% - Accent2 4 2" xfId="3617"/>
    <cellStyle name="20% - Accent2 5" xfId="43"/>
    <cellStyle name="20% - Accent3 2" xfId="44"/>
    <cellStyle name="20% - Accent3 2 2" xfId="45"/>
    <cellStyle name="20% - Accent3 2 3" xfId="3618"/>
    <cellStyle name="20% - Accent3 3" xfId="46"/>
    <cellStyle name="20% - Accent3 3 2" xfId="47"/>
    <cellStyle name="20% - Accent3 4" xfId="48"/>
    <cellStyle name="20% - Accent3 4 2" xfId="3619"/>
    <cellStyle name="20% - Accent3 5" xfId="49"/>
    <cellStyle name="20% - Accent4 2" xfId="50"/>
    <cellStyle name="20% - Accent4 2 2" xfId="51"/>
    <cellStyle name="20% - Accent4 2 3" xfId="3620"/>
    <cellStyle name="20% - Accent4 3" xfId="52"/>
    <cellStyle name="20% - Accent4 3 2" xfId="53"/>
    <cellStyle name="20% - Accent4 4" xfId="54"/>
    <cellStyle name="20% - Accent4 4 2" xfId="3621"/>
    <cellStyle name="20% - Accent4 5" xfId="55"/>
    <cellStyle name="20% - Accent5 2" xfId="56"/>
    <cellStyle name="20% - Accent5 2 2" xfId="57"/>
    <cellStyle name="20% - Accent5 2 3" xfId="3622"/>
    <cellStyle name="20% - Accent5 3" xfId="58"/>
    <cellStyle name="20% - Accent5 3 2" xfId="59"/>
    <cellStyle name="20% - Accent5 4" xfId="60"/>
    <cellStyle name="20% - Accent5 4 2" xfId="3623"/>
    <cellStyle name="20% - Accent5 5" xfId="61"/>
    <cellStyle name="20% - Accent6 2" xfId="62"/>
    <cellStyle name="20% - Accent6 2 2" xfId="63"/>
    <cellStyle name="20% - Accent6 2 3" xfId="3624"/>
    <cellStyle name="20% - Accent6 3" xfId="64"/>
    <cellStyle name="20% - Accent6 3 2" xfId="65"/>
    <cellStyle name="20% - Accent6 4" xfId="66"/>
    <cellStyle name="20% - Accent6 4 2" xfId="3625"/>
    <cellStyle name="20% - Accent6 5" xfId="67"/>
    <cellStyle name="40% - Accent1 2" xfId="68"/>
    <cellStyle name="40% - Accent1 2 2" xfId="69"/>
    <cellStyle name="40% - Accent1 2 3" xfId="3626"/>
    <cellStyle name="40% - Accent1 3" xfId="70"/>
    <cellStyle name="40% - Accent1 3 2" xfId="71"/>
    <cellStyle name="40% - Accent1 4" xfId="72"/>
    <cellStyle name="40% - Accent1 4 2" xfId="3627"/>
    <cellStyle name="40% - Accent1 5" xfId="73"/>
    <cellStyle name="40% - Accent2 2" xfId="74"/>
    <cellStyle name="40% - Accent2 2 2" xfId="75"/>
    <cellStyle name="40% - Accent2 2 3" xfId="3628"/>
    <cellStyle name="40% - Accent2 3" xfId="76"/>
    <cellStyle name="40% - Accent2 3 2" xfId="77"/>
    <cellStyle name="40% - Accent2 4" xfId="78"/>
    <cellStyle name="40% - Accent2 4 2" xfId="3629"/>
    <cellStyle name="40% - Accent2 5" xfId="79"/>
    <cellStyle name="40% - Accent3 2" xfId="80"/>
    <cellStyle name="40% - Accent3 2 2" xfId="81"/>
    <cellStyle name="40% - Accent3 2 3" xfId="3630"/>
    <cellStyle name="40% - Accent3 3" xfId="82"/>
    <cellStyle name="40% - Accent3 3 2" xfId="83"/>
    <cellStyle name="40% - Accent3 4" xfId="84"/>
    <cellStyle name="40% - Accent3 4 2" xfId="3631"/>
    <cellStyle name="40% - Accent3 5" xfId="85"/>
    <cellStyle name="40% - Accent4 2" xfId="86"/>
    <cellStyle name="40% - Accent4 2 2" xfId="87"/>
    <cellStyle name="40% - Accent4 2 3" xfId="3632"/>
    <cellStyle name="40% - Accent4 3" xfId="88"/>
    <cellStyle name="40% - Accent4 3 2" xfId="89"/>
    <cellStyle name="40% - Accent4 4" xfId="90"/>
    <cellStyle name="40% - Accent4 4 2" xfId="3633"/>
    <cellStyle name="40% - Accent4 5" xfId="91"/>
    <cellStyle name="40% - Accent5 2" xfId="92"/>
    <cellStyle name="40% - Accent5 2 2" xfId="93"/>
    <cellStyle name="40% - Accent5 2 3" xfId="3634"/>
    <cellStyle name="40% - Accent5 3" xfId="94"/>
    <cellStyle name="40% - Accent5 3 2" xfId="95"/>
    <cellStyle name="40% - Accent5 4" xfId="96"/>
    <cellStyle name="40% - Accent5 4 2" xfId="3635"/>
    <cellStyle name="40% - Accent5 5" xfId="97"/>
    <cellStyle name="40% - Accent6 2" xfId="98"/>
    <cellStyle name="40% - Accent6 2 2" xfId="99"/>
    <cellStyle name="40% - Accent6 2 3" xfId="3636"/>
    <cellStyle name="40% - Accent6 3" xfId="100"/>
    <cellStyle name="40% - Accent6 3 2" xfId="101"/>
    <cellStyle name="40% - Accent6 4" xfId="102"/>
    <cellStyle name="40% - Accent6 4 2" xfId="3637"/>
    <cellStyle name="40% - Accent6 5" xfId="103"/>
    <cellStyle name="60% - Accent1 2" xfId="104"/>
    <cellStyle name="60% - Accent1 2 2" xfId="105"/>
    <cellStyle name="60% - Accent1 2 3" xfId="3638"/>
    <cellStyle name="60% - Accent1 3" xfId="106"/>
    <cellStyle name="60% - Accent1 3 2" xfId="107"/>
    <cellStyle name="60% - Accent1 4" xfId="108"/>
    <cellStyle name="60% - Accent1 4 2" xfId="109"/>
    <cellStyle name="60% - Accent1 4 2 2" xfId="3640"/>
    <cellStyle name="60% - Accent1 4 3" xfId="3639"/>
    <cellStyle name="60% - Accent1 5" xfId="110"/>
    <cellStyle name="60% - Accent2 2" xfId="111"/>
    <cellStyle name="60% - Accent2 2 2" xfId="112"/>
    <cellStyle name="60% - Accent2 2 3" xfId="3641"/>
    <cellStyle name="60% - Accent2 3" xfId="113"/>
    <cellStyle name="60% - Accent2 3 2" xfId="114"/>
    <cellStyle name="60% - Accent2 4" xfId="115"/>
    <cellStyle name="60% - Accent2 4 2" xfId="116"/>
    <cellStyle name="60% - Accent2 4 2 2" xfId="3643"/>
    <cellStyle name="60% - Accent2 4 3" xfId="3642"/>
    <cellStyle name="60% - Accent2 5" xfId="117"/>
    <cellStyle name="60% - Accent3 2" xfId="118"/>
    <cellStyle name="60% - Accent3 2 2" xfId="119"/>
    <cellStyle name="60% - Accent3 2 3" xfId="3644"/>
    <cellStyle name="60% - Accent3 3" xfId="120"/>
    <cellStyle name="60% - Accent3 3 2" xfId="121"/>
    <cellStyle name="60% - Accent3 4" xfId="122"/>
    <cellStyle name="60% - Accent3 4 2" xfId="123"/>
    <cellStyle name="60% - Accent3 4 2 2" xfId="3646"/>
    <cellStyle name="60% - Accent3 4 3" xfId="3645"/>
    <cellStyle name="60% - Accent3 5" xfId="124"/>
    <cellStyle name="60% - Accent4 2" xfId="125"/>
    <cellStyle name="60% - Accent4 2 2" xfId="126"/>
    <cellStyle name="60% - Accent4 2 3" xfId="3647"/>
    <cellStyle name="60% - Accent4 3" xfId="127"/>
    <cellStyle name="60% - Accent4 3 2" xfId="128"/>
    <cellStyle name="60% - Accent4 4" xfId="129"/>
    <cellStyle name="60% - Accent4 4 2" xfId="130"/>
    <cellStyle name="60% - Accent4 4 2 2" xfId="3649"/>
    <cellStyle name="60% - Accent4 4 3" xfId="3648"/>
    <cellStyle name="60% - Accent4 5" xfId="131"/>
    <cellStyle name="60% - Accent5 2" xfId="132"/>
    <cellStyle name="60% - Accent5 2 2" xfId="133"/>
    <cellStyle name="60% - Accent5 2 3" xfId="3650"/>
    <cellStyle name="60% - Accent5 3" xfId="134"/>
    <cellStyle name="60% - Accent5 3 2" xfId="135"/>
    <cellStyle name="60% - Accent5 4" xfId="136"/>
    <cellStyle name="60% - Accent5 4 2" xfId="137"/>
    <cellStyle name="60% - Accent5 4 2 2" xfId="3652"/>
    <cellStyle name="60% - Accent5 4 3" xfId="3651"/>
    <cellStyle name="60% - Accent5 5" xfId="138"/>
    <cellStyle name="60% - Accent6 2" xfId="139"/>
    <cellStyle name="60% - Accent6 2 2" xfId="140"/>
    <cellStyle name="60% - Accent6 2 3" xfId="3653"/>
    <cellStyle name="60% - Accent6 3" xfId="141"/>
    <cellStyle name="60% - Accent6 3 2" xfId="142"/>
    <cellStyle name="60% - Accent6 4" xfId="143"/>
    <cellStyle name="60% - Accent6 4 2" xfId="144"/>
    <cellStyle name="60% - Accent6 4 2 2" xfId="3655"/>
    <cellStyle name="60% - Accent6 4 3" xfId="3654"/>
    <cellStyle name="60% - Accent6 5" xfId="145"/>
    <cellStyle name="Accent1 2" xfId="146"/>
    <cellStyle name="Accent1 2 2" xfId="147"/>
    <cellStyle name="Accent1 2 3" xfId="3656"/>
    <cellStyle name="Accent1 3" xfId="148"/>
    <cellStyle name="Accent1 3 2" xfId="149"/>
    <cellStyle name="Accent1 4" xfId="150"/>
    <cellStyle name="Accent1 4 2" xfId="3657"/>
    <cellStyle name="Accent1 5" xfId="151"/>
    <cellStyle name="Accent2 2" xfId="152"/>
    <cellStyle name="Accent2 2 2" xfId="153"/>
    <cellStyle name="Accent2 2 3" xfId="3658"/>
    <cellStyle name="Accent2 3" xfId="154"/>
    <cellStyle name="Accent2 3 2" xfId="155"/>
    <cellStyle name="Accent2 4" xfId="156"/>
    <cellStyle name="Accent2 4 2" xfId="3659"/>
    <cellStyle name="Accent2 5" xfId="157"/>
    <cellStyle name="Accent3 2" xfId="158"/>
    <cellStyle name="Accent3 2 2" xfId="159"/>
    <cellStyle name="Accent3 2 3" xfId="3660"/>
    <cellStyle name="Accent3 3" xfId="160"/>
    <cellStyle name="Accent3 3 2" xfId="161"/>
    <cellStyle name="Accent3 4" xfId="162"/>
    <cellStyle name="Accent3 4 2" xfId="3661"/>
    <cellStyle name="Accent3 5" xfId="163"/>
    <cellStyle name="Accent4 2" xfId="164"/>
    <cellStyle name="Accent4 2 2" xfId="165"/>
    <cellStyle name="Accent4 2 3" xfId="3662"/>
    <cellStyle name="Accent4 3" xfId="166"/>
    <cellStyle name="Accent4 3 2" xfId="167"/>
    <cellStyle name="Accent4 4" xfId="168"/>
    <cellStyle name="Accent4 4 2" xfId="3663"/>
    <cellStyle name="Accent4 5" xfId="169"/>
    <cellStyle name="Accent5 2" xfId="170"/>
    <cellStyle name="Accent5 2 2" xfId="171"/>
    <cellStyle name="Accent5 2 3" xfId="3664"/>
    <cellStyle name="Accent5 3" xfId="172"/>
    <cellStyle name="Accent5 3 2" xfId="173"/>
    <cellStyle name="Accent5 4" xfId="174"/>
    <cellStyle name="Accent5 4 2" xfId="3665"/>
    <cellStyle name="Accent5 5" xfId="175"/>
    <cellStyle name="Accent6 2" xfId="176"/>
    <cellStyle name="Accent6 2 2" xfId="177"/>
    <cellStyle name="Accent6 2 3" xfId="3666"/>
    <cellStyle name="Accent6 3" xfId="178"/>
    <cellStyle name="Accent6 3 2" xfId="179"/>
    <cellStyle name="Accent6 4" xfId="180"/>
    <cellStyle name="Accent6 4 2" xfId="3667"/>
    <cellStyle name="Accent6 5" xfId="181"/>
    <cellStyle name="Bad 2" xfId="182"/>
    <cellStyle name="Bad 2 2" xfId="183"/>
    <cellStyle name="Bad 2 3" xfId="3668"/>
    <cellStyle name="Bad 3" xfId="184"/>
    <cellStyle name="Bad 3 2" xfId="185"/>
    <cellStyle name="Bad 4" xfId="186"/>
    <cellStyle name="Bad 4 2" xfId="3669"/>
    <cellStyle name="Bad 5" xfId="187"/>
    <cellStyle name="Calculation 2" xfId="188"/>
    <cellStyle name="Calculation 2 2" xfId="189"/>
    <cellStyle name="Calculation 2 3" xfId="3670"/>
    <cellStyle name="Calculation 3" xfId="190"/>
    <cellStyle name="Calculation 3 2" xfId="191"/>
    <cellStyle name="Calculation 4" xfId="192"/>
    <cellStyle name="Calculation 4 2" xfId="3671"/>
    <cellStyle name="Calculation 5" xfId="193"/>
    <cellStyle name="Check Cell 2" xfId="194"/>
    <cellStyle name="Check Cell 2 2" xfId="195"/>
    <cellStyle name="Check Cell 2 3" xfId="3672"/>
    <cellStyle name="Check Cell 3" xfId="196"/>
    <cellStyle name="Check Cell 3 2" xfId="197"/>
    <cellStyle name="Check Cell 4" xfId="198"/>
    <cellStyle name="Check Cell 4 2" xfId="3673"/>
    <cellStyle name="Check Cell 5" xfId="199"/>
    <cellStyle name="Comma" xfId="3584" builtinId="3"/>
    <cellStyle name="Comma 10" xfId="200"/>
    <cellStyle name="Comma 10 10" xfId="201"/>
    <cellStyle name="Comma 10 10 2" xfId="202"/>
    <cellStyle name="Comma 10 11" xfId="203"/>
    <cellStyle name="Comma 10 11 2" xfId="204"/>
    <cellStyle name="Comma 10 12" xfId="205"/>
    <cellStyle name="Comma 10 12 2" xfId="206"/>
    <cellStyle name="Comma 10 13" xfId="207"/>
    <cellStyle name="Comma 10 13 2" xfId="208"/>
    <cellStyle name="Comma 10 14" xfId="209"/>
    <cellStyle name="Comma 10 14 2" xfId="210"/>
    <cellStyle name="Comma 10 15" xfId="211"/>
    <cellStyle name="Comma 10 15 2" xfId="212"/>
    <cellStyle name="Comma 10 16" xfId="213"/>
    <cellStyle name="Comma 10 16 2" xfId="214"/>
    <cellStyle name="Comma 10 17" xfId="215"/>
    <cellStyle name="Comma 10 17 2" xfId="216"/>
    <cellStyle name="Comma 10 2" xfId="217"/>
    <cellStyle name="Comma 10 2 2" xfId="218"/>
    <cellStyle name="Comma 10 3" xfId="219"/>
    <cellStyle name="Comma 10 3 2" xfId="220"/>
    <cellStyle name="Comma 10 4" xfId="221"/>
    <cellStyle name="Comma 10 4 2" xfId="222"/>
    <cellStyle name="Comma 10 5" xfId="223"/>
    <cellStyle name="Comma 10 5 2" xfId="224"/>
    <cellStyle name="Comma 10 6" xfId="225"/>
    <cellStyle name="Comma 10 6 2" xfId="226"/>
    <cellStyle name="Comma 10 7" xfId="227"/>
    <cellStyle name="Comma 10 7 2" xfId="228"/>
    <cellStyle name="Comma 10 8" xfId="229"/>
    <cellStyle name="Comma 10 8 2" xfId="230"/>
    <cellStyle name="Comma 10 9" xfId="231"/>
    <cellStyle name="Comma 10 9 2" xfId="232"/>
    <cellStyle name="Comma 11" xfId="233"/>
    <cellStyle name="Comma 11 2" xfId="234"/>
    <cellStyle name="Comma 12" xfId="235"/>
    <cellStyle name="Comma 12 10" xfId="236"/>
    <cellStyle name="Comma 12 10 2" xfId="14"/>
    <cellStyle name="Comma 12 11" xfId="237"/>
    <cellStyle name="Comma 12 11 2" xfId="238"/>
    <cellStyle name="Comma 12 12" xfId="239"/>
    <cellStyle name="Comma 12 12 2" xfId="240"/>
    <cellStyle name="Comma 12 13" xfId="241"/>
    <cellStyle name="Comma 12 13 2" xfId="242"/>
    <cellStyle name="Comma 12 14" xfId="243"/>
    <cellStyle name="Comma 12 14 2" xfId="244"/>
    <cellStyle name="Comma 12 15" xfId="245"/>
    <cellStyle name="Comma 12 15 2" xfId="246"/>
    <cellStyle name="Comma 12 16" xfId="247"/>
    <cellStyle name="Comma 12 16 2" xfId="248"/>
    <cellStyle name="Comma 12 17" xfId="249"/>
    <cellStyle name="Comma 12 17 2" xfId="250"/>
    <cellStyle name="Comma 12 18" xfId="251"/>
    <cellStyle name="Comma 12 18 2" xfId="252"/>
    <cellStyle name="Comma 12 2" xfId="253"/>
    <cellStyle name="Comma 12 2 2" xfId="254"/>
    <cellStyle name="Comma 12 3" xfId="255"/>
    <cellStyle name="Comma 12 4" xfId="256"/>
    <cellStyle name="Comma 12 4 2" xfId="257"/>
    <cellStyle name="Comma 12 5" xfId="258"/>
    <cellStyle name="Comma 12 5 2" xfId="259"/>
    <cellStyle name="Comma 12 6" xfId="260"/>
    <cellStyle name="Comma 12 6 2" xfId="261"/>
    <cellStyle name="Comma 12 7" xfId="262"/>
    <cellStyle name="Comma 12 7 2" xfId="263"/>
    <cellStyle name="Comma 12 8" xfId="264"/>
    <cellStyle name="Comma 12 8 2" xfId="265"/>
    <cellStyle name="Comma 12 9" xfId="266"/>
    <cellStyle name="Comma 12 9 2" xfId="267"/>
    <cellStyle name="Comma 13" xfId="268"/>
    <cellStyle name="Comma 13 2" xfId="269"/>
    <cellStyle name="Comma 14" xfId="270"/>
    <cellStyle name="Comma 14 2" xfId="271"/>
    <cellStyle name="Comma 15" xfId="272"/>
    <cellStyle name="Comma 15 2" xfId="273"/>
    <cellStyle name="Comma 16" xfId="274"/>
    <cellStyle name="Comma 16 2" xfId="275"/>
    <cellStyle name="Comma 17" xfId="276"/>
    <cellStyle name="Comma 17 2" xfId="277"/>
    <cellStyle name="Comma 18" xfId="278"/>
    <cellStyle name="Comma 18 2" xfId="279"/>
    <cellStyle name="Comma 19" xfId="280"/>
    <cellStyle name="Comma 19 2" xfId="281"/>
    <cellStyle name="Comma 2" xfId="1"/>
    <cellStyle name="Comma 2 2" xfId="282"/>
    <cellStyle name="Comma 2 2 2" xfId="283"/>
    <cellStyle name="Comma 2 3" xfId="284"/>
    <cellStyle name="Comma 2 3 2" xfId="285"/>
    <cellStyle name="Comma 2 3 3" xfId="3674"/>
    <cellStyle name="Comma 2 4" xfId="286"/>
    <cellStyle name="Comma 2 4 2" xfId="287"/>
    <cellStyle name="Comma 2 5" xfId="288"/>
    <cellStyle name="Comma 2 5 2" xfId="3675"/>
    <cellStyle name="Comma 2 6" xfId="289"/>
    <cellStyle name="Comma 20" xfId="290"/>
    <cellStyle name="Comma 20 2" xfId="291"/>
    <cellStyle name="Comma 3" xfId="9"/>
    <cellStyle name="Comma 3 2" xfId="292"/>
    <cellStyle name="Comma 3 2 2" xfId="293"/>
    <cellStyle name="Comma 3 2 3" xfId="3676"/>
    <cellStyle name="Comma 3 3" xfId="294"/>
    <cellStyle name="Comma 3 3 2" xfId="295"/>
    <cellStyle name="Comma 3 4" xfId="296"/>
    <cellStyle name="Comma 3 4 2" xfId="3677"/>
    <cellStyle name="Comma 3 5" xfId="297"/>
    <cellStyle name="Comma 4" xfId="4386"/>
    <cellStyle name="Comma 4 2" xfId="298"/>
    <cellStyle name="Comma 4 2 2" xfId="299"/>
    <cellStyle name="Comma 4 2 3" xfId="3678"/>
    <cellStyle name="Comma 4 3" xfId="300"/>
    <cellStyle name="Comma 4 3 2" xfId="301"/>
    <cellStyle name="Comma 4 4" xfId="302"/>
    <cellStyle name="Comma 4 4 2" xfId="3679"/>
    <cellStyle name="Comma 4 5" xfId="303"/>
    <cellStyle name="Comma 5 2" xfId="304"/>
    <cellStyle name="Comma 5 2 2" xfId="305"/>
    <cellStyle name="Comma 5 2 3" xfId="3680"/>
    <cellStyle name="Comma 5 3" xfId="306"/>
    <cellStyle name="Comma 5 3 2" xfId="307"/>
    <cellStyle name="Comma 5 4" xfId="308"/>
    <cellStyle name="Comma 5 4 2" xfId="3681"/>
    <cellStyle name="Comma 5 5" xfId="309"/>
    <cellStyle name="Comma 6 2" xfId="310"/>
    <cellStyle name="Comma 6 2 2" xfId="311"/>
    <cellStyle name="Comma 6 2 3" xfId="3682"/>
    <cellStyle name="Comma 6 3" xfId="312"/>
    <cellStyle name="Comma 6 3 2" xfId="313"/>
    <cellStyle name="Comma 6 4" xfId="314"/>
    <cellStyle name="Comma 6 4 2" xfId="3683"/>
    <cellStyle name="Comma 6 5" xfId="315"/>
    <cellStyle name="Comma 7 2" xfId="316"/>
    <cellStyle name="Comma 7 2 2" xfId="317"/>
    <cellStyle name="Comma 7 2 3" xfId="3684"/>
    <cellStyle name="Comma 7 3" xfId="318"/>
    <cellStyle name="Comma 7 3 2" xfId="319"/>
    <cellStyle name="Comma 7 4" xfId="320"/>
    <cellStyle name="Comma 7 4 2" xfId="3685"/>
    <cellStyle name="Comma 7 5" xfId="321"/>
    <cellStyle name="Comma 8 2" xfId="322"/>
    <cellStyle name="Comma 8 2 2" xfId="323"/>
    <cellStyle name="Comma 8 2 3" xfId="3686"/>
    <cellStyle name="Comma 8 3" xfId="324"/>
    <cellStyle name="Comma 8 3 2" xfId="325"/>
    <cellStyle name="Comma 8 4" xfId="326"/>
    <cellStyle name="Comma 8 4 2" xfId="3687"/>
    <cellStyle name="Comma 8 5" xfId="327"/>
    <cellStyle name="Comma 9" xfId="328"/>
    <cellStyle name="Comma 9 2" xfId="329"/>
    <cellStyle name="Currency 2" xfId="10"/>
    <cellStyle name="Currency 2 2" xfId="3598"/>
    <cellStyle name="Currency 3" xfId="3586"/>
    <cellStyle name="Currency 3 2" xfId="4388"/>
    <cellStyle name="Explanatory Text 2" xfId="330"/>
    <cellStyle name="Explanatory Text 2 2" xfId="331"/>
    <cellStyle name="Explanatory Text 2 3" xfId="3688"/>
    <cellStyle name="Explanatory Text 3" xfId="332"/>
    <cellStyle name="Explanatory Text 3 2" xfId="333"/>
    <cellStyle name="Explanatory Text 4" xfId="334"/>
    <cellStyle name="Explanatory Text 4 2" xfId="3689"/>
    <cellStyle name="Explanatory Text 5" xfId="335"/>
    <cellStyle name="Good 2" xfId="336"/>
    <cellStyle name="Good 2 2" xfId="337"/>
    <cellStyle name="Good 2 3" xfId="3690"/>
    <cellStyle name="Good 3" xfId="338"/>
    <cellStyle name="Good 3 2" xfId="339"/>
    <cellStyle name="Good 4" xfId="340"/>
    <cellStyle name="Good 4 2" xfId="3691"/>
    <cellStyle name="Good 5" xfId="341"/>
    <cellStyle name="Heading 1 2" xfId="342"/>
    <cellStyle name="Heading 1 2 2" xfId="343"/>
    <cellStyle name="Heading 1 2 3" xfId="3692"/>
    <cellStyle name="Heading 1 3" xfId="344"/>
    <cellStyle name="Heading 1 3 2" xfId="345"/>
    <cellStyle name="Heading 1 4" xfId="346"/>
    <cellStyle name="Heading 1 4 2" xfId="3693"/>
    <cellStyle name="Heading 1 5" xfId="347"/>
    <cellStyle name="Heading 2 2" xfId="348"/>
    <cellStyle name="Heading 2 2 2" xfId="349"/>
    <cellStyle name="Heading 2 2 3" xfId="3694"/>
    <cellStyle name="Heading 2 3" xfId="350"/>
    <cellStyle name="Heading 2 3 2" xfId="351"/>
    <cellStyle name="Heading 2 4" xfId="352"/>
    <cellStyle name="Heading 2 4 2" xfId="3695"/>
    <cellStyle name="Heading 2 5" xfId="353"/>
    <cellStyle name="Heading 3 2" xfId="354"/>
    <cellStyle name="Heading 3 2 2" xfId="355"/>
    <cellStyle name="Heading 3 2 3" xfId="3696"/>
    <cellStyle name="Heading 3 3" xfId="356"/>
    <cellStyle name="Heading 3 3 2" xfId="357"/>
    <cellStyle name="Heading 3 4" xfId="358"/>
    <cellStyle name="Heading 3 4 2" xfId="3697"/>
    <cellStyle name="Heading 3 5" xfId="359"/>
    <cellStyle name="Heading 4 2" xfId="360"/>
    <cellStyle name="Heading 4 2 2" xfId="361"/>
    <cellStyle name="Heading 4 2 3" xfId="3698"/>
    <cellStyle name="Heading 4 3" xfId="362"/>
    <cellStyle name="Heading 4 3 2" xfId="363"/>
    <cellStyle name="Heading 4 4" xfId="364"/>
    <cellStyle name="Heading 4 4 2" xfId="3699"/>
    <cellStyle name="Heading 4 5" xfId="365"/>
    <cellStyle name="Hyperlink" xfId="7" builtinId="8"/>
    <cellStyle name="Input 2" xfId="366"/>
    <cellStyle name="Input 2 2" xfId="367"/>
    <cellStyle name="Input 2 3" xfId="3700"/>
    <cellStyle name="Input 3" xfId="368"/>
    <cellStyle name="Input 3 2" xfId="369"/>
    <cellStyle name="Input 4" xfId="370"/>
    <cellStyle name="Input 4 2" xfId="3701"/>
    <cellStyle name="Input 5" xfId="371"/>
    <cellStyle name="Linked Cell 2" xfId="372"/>
    <cellStyle name="Linked Cell 2 2" xfId="373"/>
    <cellStyle name="Linked Cell 2 3" xfId="3702"/>
    <cellStyle name="Linked Cell 3" xfId="374"/>
    <cellStyle name="Linked Cell 3 2" xfId="375"/>
    <cellStyle name="Linked Cell 4" xfId="376"/>
    <cellStyle name="Linked Cell 4 2" xfId="3703"/>
    <cellStyle name="Linked Cell 5" xfId="377"/>
    <cellStyle name="Neutral 2" xfId="378"/>
    <cellStyle name="Neutral 2 2" xfId="379"/>
    <cellStyle name="Neutral 2 3" xfId="3704"/>
    <cellStyle name="Neutral 3" xfId="380"/>
    <cellStyle name="Neutral 3 2" xfId="381"/>
    <cellStyle name="Neutral 4" xfId="382"/>
    <cellStyle name="Neutral 4 2" xfId="383"/>
    <cellStyle name="Neutral 4 2 2" xfId="3705"/>
    <cellStyle name="Neutral 5" xfId="384"/>
    <cellStyle name="Normal" xfId="0" builtinId="0"/>
    <cellStyle name="Normal 10" xfId="3593"/>
    <cellStyle name="Normal 10 10" xfId="385"/>
    <cellStyle name="Normal 10 10 2" xfId="386"/>
    <cellStyle name="Normal 10 10 2 2" xfId="387"/>
    <cellStyle name="Normal 10 10 2 3" xfId="3706"/>
    <cellStyle name="Normal 10 10 3" xfId="388"/>
    <cellStyle name="Normal 10 10 3 2" xfId="389"/>
    <cellStyle name="Normal 10 10 4" xfId="390"/>
    <cellStyle name="Normal 10 10 4 2" xfId="391"/>
    <cellStyle name="Normal 10 10 5" xfId="392"/>
    <cellStyle name="Normal 10 10 5 2" xfId="3707"/>
    <cellStyle name="Normal 10 10 6" xfId="393"/>
    <cellStyle name="Normal 10 11" xfId="394"/>
    <cellStyle name="Normal 10 11 2" xfId="395"/>
    <cellStyle name="Normal 10 11 2 2" xfId="396"/>
    <cellStyle name="Normal 10 11 2 3" xfId="3708"/>
    <cellStyle name="Normal 10 11 3" xfId="397"/>
    <cellStyle name="Normal 10 11 3 2" xfId="398"/>
    <cellStyle name="Normal 10 11 4" xfId="399"/>
    <cellStyle name="Normal 10 11 4 2" xfId="400"/>
    <cellStyle name="Normal 10 11 5" xfId="401"/>
    <cellStyle name="Normal 10 11 5 2" xfId="3709"/>
    <cellStyle name="Normal 10 11 6" xfId="402"/>
    <cellStyle name="Normal 10 12" xfId="403"/>
    <cellStyle name="Normal 10 12 2" xfId="404"/>
    <cellStyle name="Normal 10 12 2 2" xfId="405"/>
    <cellStyle name="Normal 10 12 2 3" xfId="3710"/>
    <cellStyle name="Normal 10 12 3" xfId="406"/>
    <cellStyle name="Normal 10 12 3 2" xfId="407"/>
    <cellStyle name="Normal 10 12 4" xfId="408"/>
    <cellStyle name="Normal 10 12 4 2" xfId="409"/>
    <cellStyle name="Normal 10 12 5" xfId="410"/>
    <cellStyle name="Normal 10 12 5 2" xfId="3711"/>
    <cellStyle name="Normal 10 12 6" xfId="411"/>
    <cellStyle name="Normal 10 13" xfId="412"/>
    <cellStyle name="Normal 10 13 2" xfId="413"/>
    <cellStyle name="Normal 10 13 2 2" xfId="414"/>
    <cellStyle name="Normal 10 13 2 3" xfId="3712"/>
    <cellStyle name="Normal 10 13 3" xfId="415"/>
    <cellStyle name="Normal 10 13 3 2" xfId="416"/>
    <cellStyle name="Normal 10 13 4" xfId="417"/>
    <cellStyle name="Normal 10 13 4 2" xfId="418"/>
    <cellStyle name="Normal 10 13 5" xfId="419"/>
    <cellStyle name="Normal 10 13 5 2" xfId="3713"/>
    <cellStyle name="Normal 10 13 6" xfId="420"/>
    <cellStyle name="Normal 10 14" xfId="421"/>
    <cellStyle name="Normal 10 14 2" xfId="422"/>
    <cellStyle name="Normal 10 14 2 2" xfId="423"/>
    <cellStyle name="Normal 10 14 2 3" xfId="3714"/>
    <cellStyle name="Normal 10 14 3" xfId="424"/>
    <cellStyle name="Normal 10 14 3 2" xfId="425"/>
    <cellStyle name="Normal 10 14 4" xfId="426"/>
    <cellStyle name="Normal 10 14 4 2" xfId="427"/>
    <cellStyle name="Normal 10 14 5" xfId="428"/>
    <cellStyle name="Normal 10 14 5 2" xfId="3715"/>
    <cellStyle name="Normal 10 14 6" xfId="429"/>
    <cellStyle name="Normal 10 15" xfId="430"/>
    <cellStyle name="Normal 10 15 2" xfId="431"/>
    <cellStyle name="Normal 10 15 2 2" xfId="432"/>
    <cellStyle name="Normal 10 15 2 3" xfId="3716"/>
    <cellStyle name="Normal 10 15 3" xfId="433"/>
    <cellStyle name="Normal 10 15 3 2" xfId="434"/>
    <cellStyle name="Normal 10 15 4" xfId="435"/>
    <cellStyle name="Normal 10 15 4 2" xfId="436"/>
    <cellStyle name="Normal 10 15 5" xfId="437"/>
    <cellStyle name="Normal 10 15 5 2" xfId="3717"/>
    <cellStyle name="Normal 10 15 6" xfId="438"/>
    <cellStyle name="Normal 10 16" xfId="439"/>
    <cellStyle name="Normal 10 16 2" xfId="440"/>
    <cellStyle name="Normal 10 16 3" xfId="3718"/>
    <cellStyle name="Normal 10 17" xfId="441"/>
    <cellStyle name="Normal 10 17 2" xfId="442"/>
    <cellStyle name="Normal 10 18" xfId="443"/>
    <cellStyle name="Normal 10 18 2" xfId="3719"/>
    <cellStyle name="Normal 10 19" xfId="444"/>
    <cellStyle name="Normal 10 2" xfId="445"/>
    <cellStyle name="Normal 10 2 2" xfId="446"/>
    <cellStyle name="Normal 10 2 2 2" xfId="447"/>
    <cellStyle name="Normal 10 2 2 3" xfId="3720"/>
    <cellStyle name="Normal 10 2 3" xfId="448"/>
    <cellStyle name="Normal 10 2 3 2" xfId="449"/>
    <cellStyle name="Normal 10 2 4" xfId="450"/>
    <cellStyle name="Normal 10 2 4 2" xfId="451"/>
    <cellStyle name="Normal 10 2 5" xfId="452"/>
    <cellStyle name="Normal 10 2 5 2" xfId="3721"/>
    <cellStyle name="Normal 10 2 6" xfId="453"/>
    <cellStyle name="Normal 10 20" xfId="4395"/>
    <cellStyle name="Normal 10 3" xfId="454"/>
    <cellStyle name="Normal 10 3 2" xfId="455"/>
    <cellStyle name="Normal 10 3 2 2" xfId="456"/>
    <cellStyle name="Normal 10 3 2 3" xfId="3722"/>
    <cellStyle name="Normal 10 3 3" xfId="457"/>
    <cellStyle name="Normal 10 3 3 2" xfId="458"/>
    <cellStyle name="Normal 10 3 4" xfId="459"/>
    <cellStyle name="Normal 10 3 4 2" xfId="460"/>
    <cellStyle name="Normal 10 3 5" xfId="461"/>
    <cellStyle name="Normal 10 3 5 2" xfId="3723"/>
    <cellStyle name="Normal 10 3 6" xfId="462"/>
    <cellStyle name="Normal 10 4" xfId="463"/>
    <cellStyle name="Normal 10 4 2" xfId="464"/>
    <cellStyle name="Normal 10 4 2 2" xfId="465"/>
    <cellStyle name="Normal 10 4 2 3" xfId="3724"/>
    <cellStyle name="Normal 10 4 3" xfId="466"/>
    <cellStyle name="Normal 10 4 3 2" xfId="467"/>
    <cellStyle name="Normal 10 4 4" xfId="468"/>
    <cellStyle name="Normal 10 4 4 2" xfId="469"/>
    <cellStyle name="Normal 10 4 5" xfId="470"/>
    <cellStyle name="Normal 10 4 5 2" xfId="3725"/>
    <cellStyle name="Normal 10 4 6" xfId="471"/>
    <cellStyle name="Normal 10 5" xfId="472"/>
    <cellStyle name="Normal 10 5 10" xfId="473"/>
    <cellStyle name="Normal 10 5 10 2" xfId="474"/>
    <cellStyle name="Normal 10 5 10 2 2" xfId="475"/>
    <cellStyle name="Normal 10 5 10 2 3" xfId="3726"/>
    <cellStyle name="Normal 10 5 10 3" xfId="476"/>
    <cellStyle name="Normal 10 5 10 3 2" xfId="477"/>
    <cellStyle name="Normal 10 5 10 4" xfId="478"/>
    <cellStyle name="Normal 10 5 10 4 2" xfId="479"/>
    <cellStyle name="Normal 10 5 10 5" xfId="480"/>
    <cellStyle name="Normal 10 5 10 5 2" xfId="3727"/>
    <cellStyle name="Normal 10 5 10 6" xfId="481"/>
    <cellStyle name="Normal 10 5 11" xfId="482"/>
    <cellStyle name="Normal 10 5 11 2" xfId="483"/>
    <cellStyle name="Normal 10 5 11 2 2" xfId="484"/>
    <cellStyle name="Normal 10 5 11 2 3" xfId="3728"/>
    <cellStyle name="Normal 10 5 11 3" xfId="485"/>
    <cellStyle name="Normal 10 5 11 3 2" xfId="486"/>
    <cellStyle name="Normal 10 5 11 4" xfId="487"/>
    <cellStyle name="Normal 10 5 11 4 2" xfId="488"/>
    <cellStyle name="Normal 10 5 11 5" xfId="489"/>
    <cellStyle name="Normal 10 5 11 5 2" xfId="3729"/>
    <cellStyle name="Normal 10 5 11 6" xfId="490"/>
    <cellStyle name="Normal 10 5 12" xfId="491"/>
    <cellStyle name="Normal 10 5 12 2" xfId="492"/>
    <cellStyle name="Normal 10 5 12 2 2" xfId="493"/>
    <cellStyle name="Normal 10 5 12 2 3" xfId="3730"/>
    <cellStyle name="Normal 10 5 12 3" xfId="494"/>
    <cellStyle name="Normal 10 5 12 3 2" xfId="495"/>
    <cellStyle name="Normal 10 5 12 4" xfId="496"/>
    <cellStyle name="Normal 10 5 12 4 2" xfId="497"/>
    <cellStyle name="Normal 10 5 12 5" xfId="498"/>
    <cellStyle name="Normal 10 5 12 5 2" xfId="3731"/>
    <cellStyle name="Normal 10 5 12 6" xfId="499"/>
    <cellStyle name="Normal 10 5 13" xfId="500"/>
    <cellStyle name="Normal 10 5 13 2" xfId="501"/>
    <cellStyle name="Normal 10 5 13 2 2" xfId="502"/>
    <cellStyle name="Normal 10 5 13 2 3" xfId="3732"/>
    <cellStyle name="Normal 10 5 13 3" xfId="503"/>
    <cellStyle name="Normal 10 5 13 3 2" xfId="504"/>
    <cellStyle name="Normal 10 5 13 4" xfId="505"/>
    <cellStyle name="Normal 10 5 13 4 2" xfId="506"/>
    <cellStyle name="Normal 10 5 13 5" xfId="507"/>
    <cellStyle name="Normal 10 5 13 5 2" xfId="3733"/>
    <cellStyle name="Normal 10 5 13 6" xfId="508"/>
    <cellStyle name="Normal 10 5 14" xfId="509"/>
    <cellStyle name="Normal 10 5 14 2" xfId="510"/>
    <cellStyle name="Normal 10 5 14 2 2" xfId="511"/>
    <cellStyle name="Normal 10 5 14 2 3" xfId="3734"/>
    <cellStyle name="Normal 10 5 14 3" xfId="512"/>
    <cellStyle name="Normal 10 5 14 3 2" xfId="513"/>
    <cellStyle name="Normal 10 5 14 4" xfId="514"/>
    <cellStyle name="Normal 10 5 14 4 2" xfId="515"/>
    <cellStyle name="Normal 10 5 14 5" xfId="516"/>
    <cellStyle name="Normal 10 5 14 5 2" xfId="3735"/>
    <cellStyle name="Normal 10 5 14 6" xfId="517"/>
    <cellStyle name="Normal 10 5 15" xfId="518"/>
    <cellStyle name="Normal 10 5 15 2" xfId="519"/>
    <cellStyle name="Normal 10 5 15 2 2" xfId="520"/>
    <cellStyle name="Normal 10 5 15 2 3" xfId="3736"/>
    <cellStyle name="Normal 10 5 15 3" xfId="521"/>
    <cellStyle name="Normal 10 5 15 3 2" xfId="522"/>
    <cellStyle name="Normal 10 5 15 4" xfId="523"/>
    <cellStyle name="Normal 10 5 15 4 2" xfId="524"/>
    <cellStyle name="Normal 10 5 15 5" xfId="525"/>
    <cellStyle name="Normal 10 5 15 5 2" xfId="3737"/>
    <cellStyle name="Normal 10 5 15 6" xfId="526"/>
    <cellStyle name="Normal 10 5 16" xfId="527"/>
    <cellStyle name="Normal 10 5 16 2" xfId="528"/>
    <cellStyle name="Normal 10 5 16 2 2" xfId="529"/>
    <cellStyle name="Normal 10 5 16 2 3" xfId="3738"/>
    <cellStyle name="Normal 10 5 16 3" xfId="530"/>
    <cellStyle name="Normal 10 5 16 3 2" xfId="531"/>
    <cellStyle name="Normal 10 5 16 4" xfId="532"/>
    <cellStyle name="Normal 10 5 16 4 2" xfId="533"/>
    <cellStyle name="Normal 10 5 16 5" xfId="534"/>
    <cellStyle name="Normal 10 5 16 5 2" xfId="3739"/>
    <cellStyle name="Normal 10 5 16 6" xfId="535"/>
    <cellStyle name="Normal 10 5 17" xfId="536"/>
    <cellStyle name="Normal 10 5 17 2" xfId="537"/>
    <cellStyle name="Normal 10 5 17 2 2" xfId="538"/>
    <cellStyle name="Normal 10 5 17 2 3" xfId="3740"/>
    <cellStyle name="Normal 10 5 17 3" xfId="539"/>
    <cellStyle name="Normal 10 5 17 3 2" xfId="540"/>
    <cellStyle name="Normal 10 5 17 4" xfId="541"/>
    <cellStyle name="Normal 10 5 17 4 2" xfId="542"/>
    <cellStyle name="Normal 10 5 17 5" xfId="543"/>
    <cellStyle name="Normal 10 5 17 5 2" xfId="3741"/>
    <cellStyle name="Normal 10 5 17 6" xfId="544"/>
    <cellStyle name="Normal 10 5 18" xfId="545"/>
    <cellStyle name="Normal 10 5 18 2" xfId="546"/>
    <cellStyle name="Normal 10 5 18 2 2" xfId="547"/>
    <cellStyle name="Normal 10 5 18 2 3" xfId="3742"/>
    <cellStyle name="Normal 10 5 18 3" xfId="548"/>
    <cellStyle name="Normal 10 5 18 3 2" xfId="549"/>
    <cellStyle name="Normal 10 5 18 4" xfId="550"/>
    <cellStyle name="Normal 10 5 18 4 2" xfId="551"/>
    <cellStyle name="Normal 10 5 18 5" xfId="552"/>
    <cellStyle name="Normal 10 5 18 5 2" xfId="3743"/>
    <cellStyle name="Normal 10 5 18 6" xfId="553"/>
    <cellStyle name="Normal 10 5 19" xfId="554"/>
    <cellStyle name="Normal 10 5 19 2" xfId="555"/>
    <cellStyle name="Normal 10 5 19 2 2" xfId="556"/>
    <cellStyle name="Normal 10 5 19 2 3" xfId="3744"/>
    <cellStyle name="Normal 10 5 19 3" xfId="557"/>
    <cellStyle name="Normal 10 5 19 3 2" xfId="558"/>
    <cellStyle name="Normal 10 5 19 4" xfId="559"/>
    <cellStyle name="Normal 10 5 19 4 2" xfId="560"/>
    <cellStyle name="Normal 10 5 19 5" xfId="561"/>
    <cellStyle name="Normal 10 5 19 5 2" xfId="3745"/>
    <cellStyle name="Normal 10 5 19 6" xfId="562"/>
    <cellStyle name="Normal 10 5 2" xfId="563"/>
    <cellStyle name="Normal 10 5 2 2" xfId="564"/>
    <cellStyle name="Normal 10 5 2 2 2" xfId="565"/>
    <cellStyle name="Normal 10 5 2 2 3" xfId="3746"/>
    <cellStyle name="Normal 10 5 2 3" xfId="566"/>
    <cellStyle name="Normal 10 5 2 3 2" xfId="567"/>
    <cellStyle name="Normal 10 5 2 4" xfId="568"/>
    <cellStyle name="Normal 10 5 2 4 2" xfId="569"/>
    <cellStyle name="Normal 10 5 2 5" xfId="570"/>
    <cellStyle name="Normal 10 5 2 5 2" xfId="3747"/>
    <cellStyle name="Normal 10 5 2 6" xfId="571"/>
    <cellStyle name="Normal 10 5 20" xfId="572"/>
    <cellStyle name="Normal 10 5 20 2" xfId="573"/>
    <cellStyle name="Normal 10 5 20 2 2" xfId="574"/>
    <cellStyle name="Normal 10 5 20 2 3" xfId="3748"/>
    <cellStyle name="Normal 10 5 20 3" xfId="575"/>
    <cellStyle name="Normal 10 5 20 3 2" xfId="576"/>
    <cellStyle name="Normal 10 5 20 4" xfId="577"/>
    <cellStyle name="Normal 10 5 20 4 2" xfId="578"/>
    <cellStyle name="Normal 10 5 20 5" xfId="579"/>
    <cellStyle name="Normal 10 5 20 5 2" xfId="3749"/>
    <cellStyle name="Normal 10 5 20 6" xfId="580"/>
    <cellStyle name="Normal 10 5 21" xfId="581"/>
    <cellStyle name="Normal 10 5 21 2" xfId="582"/>
    <cellStyle name="Normal 10 5 21 2 2" xfId="583"/>
    <cellStyle name="Normal 10 5 21 2 3" xfId="3750"/>
    <cellStyle name="Normal 10 5 21 3" xfId="584"/>
    <cellStyle name="Normal 10 5 21 3 2" xfId="585"/>
    <cellStyle name="Normal 10 5 21 4" xfId="586"/>
    <cellStyle name="Normal 10 5 21 4 2" xfId="587"/>
    <cellStyle name="Normal 10 5 21 5" xfId="588"/>
    <cellStyle name="Normal 10 5 21 5 2" xfId="3751"/>
    <cellStyle name="Normal 10 5 21 6" xfId="589"/>
    <cellStyle name="Normal 10 5 22" xfId="590"/>
    <cellStyle name="Normal 10 5 22 2" xfId="591"/>
    <cellStyle name="Normal 10 5 23" xfId="592"/>
    <cellStyle name="Normal 10 5 23 2" xfId="593"/>
    <cellStyle name="Normal 10 5 23 2 2" xfId="594"/>
    <cellStyle name="Normal 10 5 23 3" xfId="595"/>
    <cellStyle name="Normal 10 5 23 4" xfId="3752"/>
    <cellStyle name="Normal 10 5 24" xfId="596"/>
    <cellStyle name="Normal 10 5 24 2" xfId="597"/>
    <cellStyle name="Normal 10 5 24 2 2" xfId="598"/>
    <cellStyle name="Normal 10 5 24 3" xfId="599"/>
    <cellStyle name="Normal 10 5 25" xfId="600"/>
    <cellStyle name="Normal 10 5 25 2" xfId="601"/>
    <cellStyle name="Normal 10 5 26" xfId="602"/>
    <cellStyle name="Normal 10 5 26 2" xfId="603"/>
    <cellStyle name="Normal 10 5 27" xfId="604"/>
    <cellStyle name="Normal 10 5 27 2" xfId="3753"/>
    <cellStyle name="Normal 10 5 28" xfId="605"/>
    <cellStyle name="Normal 10 5 3" xfId="606"/>
    <cellStyle name="Normal 10 5 3 2" xfId="607"/>
    <cellStyle name="Normal 10 5 3 2 2" xfId="608"/>
    <cellStyle name="Normal 10 5 3 2 3" xfId="3754"/>
    <cellStyle name="Normal 10 5 3 3" xfId="609"/>
    <cellStyle name="Normal 10 5 3 3 2" xfId="610"/>
    <cellStyle name="Normal 10 5 3 4" xfId="611"/>
    <cellStyle name="Normal 10 5 3 4 2" xfId="612"/>
    <cellStyle name="Normal 10 5 3 5" xfId="613"/>
    <cellStyle name="Normal 10 5 3 5 2" xfId="3755"/>
    <cellStyle name="Normal 10 5 3 6" xfId="614"/>
    <cellStyle name="Normal 10 5 4" xfId="615"/>
    <cellStyle name="Normal 10 5 4 2" xfId="616"/>
    <cellStyle name="Normal 10 5 4 2 2" xfId="617"/>
    <cellStyle name="Normal 10 5 4 2 3" xfId="3756"/>
    <cellStyle name="Normal 10 5 4 3" xfId="618"/>
    <cellStyle name="Normal 10 5 4 3 2" xfId="619"/>
    <cellStyle name="Normal 10 5 4 4" xfId="620"/>
    <cellStyle name="Normal 10 5 4 4 2" xfId="621"/>
    <cellStyle name="Normal 10 5 4 5" xfId="622"/>
    <cellStyle name="Normal 10 5 4 5 2" xfId="3757"/>
    <cellStyle name="Normal 10 5 4 6" xfId="623"/>
    <cellStyle name="Normal 10 5 5" xfId="624"/>
    <cellStyle name="Normal 10 5 5 2" xfId="625"/>
    <cellStyle name="Normal 10 5 5 2 2" xfId="626"/>
    <cellStyle name="Normal 10 5 5 2 3" xfId="3758"/>
    <cellStyle name="Normal 10 5 5 3" xfId="627"/>
    <cellStyle name="Normal 10 5 5 3 2" xfId="628"/>
    <cellStyle name="Normal 10 5 5 4" xfId="629"/>
    <cellStyle name="Normal 10 5 5 4 2" xfId="630"/>
    <cellStyle name="Normal 10 5 5 5" xfId="631"/>
    <cellStyle name="Normal 10 5 5 5 2" xfId="3759"/>
    <cellStyle name="Normal 10 5 5 6" xfId="632"/>
    <cellStyle name="Normal 10 5 6" xfId="633"/>
    <cellStyle name="Normal 10 5 6 2" xfId="634"/>
    <cellStyle name="Normal 10 5 6 2 2" xfId="635"/>
    <cellStyle name="Normal 10 5 6 2 3" xfId="3760"/>
    <cellStyle name="Normal 10 5 6 3" xfId="636"/>
    <cellStyle name="Normal 10 5 6 3 2" xfId="637"/>
    <cellStyle name="Normal 10 5 6 4" xfId="638"/>
    <cellStyle name="Normal 10 5 6 4 2" xfId="639"/>
    <cellStyle name="Normal 10 5 6 5" xfId="640"/>
    <cellStyle name="Normal 10 5 6 5 2" xfId="3761"/>
    <cellStyle name="Normal 10 5 6 6" xfId="641"/>
    <cellStyle name="Normal 10 5 7" xfId="642"/>
    <cellStyle name="Normal 10 5 7 2" xfId="643"/>
    <cellStyle name="Normal 10 5 7 2 2" xfId="644"/>
    <cellStyle name="Normal 10 5 7 2 3" xfId="3762"/>
    <cellStyle name="Normal 10 5 7 3" xfId="645"/>
    <cellStyle name="Normal 10 5 7 3 2" xfId="646"/>
    <cellStyle name="Normal 10 5 7 4" xfId="647"/>
    <cellStyle name="Normal 10 5 7 4 2" xfId="648"/>
    <cellStyle name="Normal 10 5 7 5" xfId="649"/>
    <cellStyle name="Normal 10 5 7 5 2" xfId="3763"/>
    <cellStyle name="Normal 10 5 7 6" xfId="650"/>
    <cellStyle name="Normal 10 5 8" xfId="651"/>
    <cellStyle name="Normal 10 5 8 2" xfId="652"/>
    <cellStyle name="Normal 10 5 8 2 2" xfId="653"/>
    <cellStyle name="Normal 10 5 8 2 3" xfId="3764"/>
    <cellStyle name="Normal 10 5 8 3" xfId="654"/>
    <cellStyle name="Normal 10 5 8 3 2" xfId="655"/>
    <cellStyle name="Normal 10 5 8 4" xfId="656"/>
    <cellStyle name="Normal 10 5 8 4 2" xfId="657"/>
    <cellStyle name="Normal 10 5 8 5" xfId="658"/>
    <cellStyle name="Normal 10 5 8 5 2" xfId="3765"/>
    <cellStyle name="Normal 10 5 8 6" xfId="659"/>
    <cellStyle name="Normal 10 5 9" xfId="660"/>
    <cellStyle name="Normal 10 5 9 2" xfId="661"/>
    <cellStyle name="Normal 10 5 9 2 2" xfId="662"/>
    <cellStyle name="Normal 10 5 9 2 3" xfId="3766"/>
    <cellStyle name="Normal 10 5 9 3" xfId="663"/>
    <cellStyle name="Normal 10 5 9 3 2" xfId="664"/>
    <cellStyle name="Normal 10 5 9 4" xfId="665"/>
    <cellStyle name="Normal 10 5 9 4 2" xfId="666"/>
    <cellStyle name="Normal 10 5 9 5" xfId="667"/>
    <cellStyle name="Normal 10 5 9 5 2" xfId="3767"/>
    <cellStyle name="Normal 10 5 9 6" xfId="668"/>
    <cellStyle name="Normal 10 5_Depot Productwise Sales Report  April'14" xfId="669"/>
    <cellStyle name="Normal 10 6" xfId="670"/>
    <cellStyle name="Normal 10 6 2" xfId="671"/>
    <cellStyle name="Normal 10 6 2 2" xfId="672"/>
    <cellStyle name="Normal 10 6 2 3" xfId="3768"/>
    <cellStyle name="Normal 10 6 3" xfId="673"/>
    <cellStyle name="Normal 10 6 3 2" xfId="674"/>
    <cellStyle name="Normal 10 6 4" xfId="675"/>
    <cellStyle name="Normal 10 6 4 2" xfId="676"/>
    <cellStyle name="Normal 10 6 5" xfId="677"/>
    <cellStyle name="Normal 10 6 5 2" xfId="3769"/>
    <cellStyle name="Normal 10 6 6" xfId="678"/>
    <cellStyle name="Normal 10 7" xfId="679"/>
    <cellStyle name="Normal 10 7 2" xfId="680"/>
    <cellStyle name="Normal 10 7 2 2" xfId="681"/>
    <cellStyle name="Normal 10 7 2 3" xfId="3770"/>
    <cellStyle name="Normal 10 7 3" xfId="682"/>
    <cellStyle name="Normal 10 7 3 2" xfId="683"/>
    <cellStyle name="Normal 10 7 4" xfId="684"/>
    <cellStyle name="Normal 10 7 4 2" xfId="685"/>
    <cellStyle name="Normal 10 7 5" xfId="686"/>
    <cellStyle name="Normal 10 7 5 2" xfId="3771"/>
    <cellStyle name="Normal 10 7 6" xfId="687"/>
    <cellStyle name="Normal 10 8" xfId="688"/>
    <cellStyle name="Normal 10 8 2" xfId="689"/>
    <cellStyle name="Normal 10 8 2 2" xfId="690"/>
    <cellStyle name="Normal 10 8 2 3" xfId="3772"/>
    <cellStyle name="Normal 10 8 3" xfId="691"/>
    <cellStyle name="Normal 10 8 3 2" xfId="692"/>
    <cellStyle name="Normal 10 8 4" xfId="693"/>
    <cellStyle name="Normal 10 8 4 2" xfId="694"/>
    <cellStyle name="Normal 10 8 5" xfId="695"/>
    <cellStyle name="Normal 10 8 5 2" xfId="3773"/>
    <cellStyle name="Normal 10 8 6" xfId="696"/>
    <cellStyle name="Normal 10 9" xfId="697"/>
    <cellStyle name="Normal 10 9 2" xfId="698"/>
    <cellStyle name="Normal 10 9 2 2" xfId="699"/>
    <cellStyle name="Normal 10 9 2 3" xfId="3774"/>
    <cellStyle name="Normal 10 9 3" xfId="700"/>
    <cellStyle name="Normal 10 9 3 2" xfId="701"/>
    <cellStyle name="Normal 10 9 4" xfId="702"/>
    <cellStyle name="Normal 10 9 4 2" xfId="703"/>
    <cellStyle name="Normal 10 9 5" xfId="704"/>
    <cellStyle name="Normal 10 9 5 2" xfId="3775"/>
    <cellStyle name="Normal 10 9 6" xfId="705"/>
    <cellStyle name="Normal 100 2" xfId="706"/>
    <cellStyle name="Normal 100 2 10" xfId="707"/>
    <cellStyle name="Normal 100 2 2" xfId="708"/>
    <cellStyle name="Normal 100 2 2 2" xfId="709"/>
    <cellStyle name="Normal 100 2 3" xfId="710"/>
    <cellStyle name="Normal 100 2 3 2" xfId="711"/>
    <cellStyle name="Normal 100 2 3 2 2" xfId="712"/>
    <cellStyle name="Normal 100 2 3 3" xfId="713"/>
    <cellStyle name="Normal 100 2 4" xfId="714"/>
    <cellStyle name="Normal 100 2 4 2" xfId="715"/>
    <cellStyle name="Normal 100 2 4 2 2" xfId="716"/>
    <cellStyle name="Normal 100 2 4 3" xfId="717"/>
    <cellStyle name="Normal 100 2 5" xfId="718"/>
    <cellStyle name="Normal 100 2 5 2" xfId="719"/>
    <cellStyle name="Normal 100 2 5 2 2" xfId="720"/>
    <cellStyle name="Normal 100 2 5 3" xfId="721"/>
    <cellStyle name="Normal 100 2 6" xfId="722"/>
    <cellStyle name="Normal 100 2 6 2" xfId="723"/>
    <cellStyle name="Normal 100 2 7" xfId="724"/>
    <cellStyle name="Normal 100 2 7 2" xfId="725"/>
    <cellStyle name="Normal 100 2 8" xfId="726"/>
    <cellStyle name="Normal 100 2 8 2" xfId="727"/>
    <cellStyle name="Normal 100 2 9" xfId="728"/>
    <cellStyle name="Normal 100 3" xfId="729"/>
    <cellStyle name="Normal 100 3 2" xfId="730"/>
    <cellStyle name="Normal 100 4" xfId="731"/>
    <cellStyle name="Normal 100 4 2" xfId="732"/>
    <cellStyle name="Normal 100 5" xfId="733"/>
    <cellStyle name="Normal 100 5 2" xfId="734"/>
    <cellStyle name="Normal 100 6" xfId="735"/>
    <cellStyle name="Normal 100 6 2" xfId="736"/>
    <cellStyle name="Normal 100 7" xfId="737"/>
    <cellStyle name="Normal 100 7 2" xfId="738"/>
    <cellStyle name="Normal 100 8" xfId="739"/>
    <cellStyle name="Normal 100 9" xfId="740"/>
    <cellStyle name="Normal 101 2" xfId="741"/>
    <cellStyle name="Normal 101 2 2" xfId="742"/>
    <cellStyle name="Normal 101 3" xfId="743"/>
    <cellStyle name="Normal 101 3 2" xfId="744"/>
    <cellStyle name="Normal 101 4" xfId="745"/>
    <cellStyle name="Normal 101 4 2" xfId="746"/>
    <cellStyle name="Normal 101 5" xfId="747"/>
    <cellStyle name="Normal 101 5 2" xfId="748"/>
    <cellStyle name="Normal 101 6" xfId="749"/>
    <cellStyle name="Normal 101 6 2" xfId="750"/>
    <cellStyle name="Normal 101 7" xfId="751"/>
    <cellStyle name="Normal 101 8" xfId="752"/>
    <cellStyle name="Normal 102 2" xfId="753"/>
    <cellStyle name="Normal 102 2 2" xfId="754"/>
    <cellStyle name="Normal 102 2 3" xfId="3776"/>
    <cellStyle name="Normal 102 3" xfId="755"/>
    <cellStyle name="Normal 102 3 2" xfId="756"/>
    <cellStyle name="Normal 102 4" xfId="757"/>
    <cellStyle name="Normal 102 4 2" xfId="3777"/>
    <cellStyle name="Normal 102 5" xfId="758"/>
    <cellStyle name="Normal 103 2" xfId="759"/>
    <cellStyle name="Normal 103 2 2" xfId="760"/>
    <cellStyle name="Normal 103 2 3" xfId="3778"/>
    <cellStyle name="Normal 103 3" xfId="761"/>
    <cellStyle name="Normal 103 3 2" xfId="762"/>
    <cellStyle name="Normal 103 4" xfId="763"/>
    <cellStyle name="Normal 103 4 2" xfId="3779"/>
    <cellStyle name="Normal 103 5" xfId="764"/>
    <cellStyle name="Normal 104 2" xfId="765"/>
    <cellStyle name="Normal 104 2 2" xfId="766"/>
    <cellStyle name="Normal 104 2 3" xfId="3780"/>
    <cellStyle name="Normal 104 3" xfId="767"/>
    <cellStyle name="Normal 104 3 2" xfId="768"/>
    <cellStyle name="Normal 104 4" xfId="769"/>
    <cellStyle name="Normal 104 4 2" xfId="3781"/>
    <cellStyle name="Normal 104 5" xfId="770"/>
    <cellStyle name="Normal 105 2" xfId="771"/>
    <cellStyle name="Normal 105 2 2" xfId="772"/>
    <cellStyle name="Normal 105 2 3" xfId="3782"/>
    <cellStyle name="Normal 105 3" xfId="773"/>
    <cellStyle name="Normal 105 3 2" xfId="774"/>
    <cellStyle name="Normal 105 4" xfId="775"/>
    <cellStyle name="Normal 105 4 2" xfId="3783"/>
    <cellStyle name="Normal 105 5" xfId="776"/>
    <cellStyle name="Normal 106 2" xfId="777"/>
    <cellStyle name="Normal 106 2 2" xfId="778"/>
    <cellStyle name="Normal 106 2 3" xfId="3784"/>
    <cellStyle name="Normal 106 3" xfId="779"/>
    <cellStyle name="Normal 106 3 2" xfId="780"/>
    <cellStyle name="Normal 106 4" xfId="781"/>
    <cellStyle name="Normal 106 4 2" xfId="3785"/>
    <cellStyle name="Normal 106 5" xfId="782"/>
    <cellStyle name="Normal 107 2" xfId="783"/>
    <cellStyle name="Normal 107 2 2" xfId="784"/>
    <cellStyle name="Normal 107 2 3" xfId="3786"/>
    <cellStyle name="Normal 107 3" xfId="785"/>
    <cellStyle name="Normal 107 3 2" xfId="786"/>
    <cellStyle name="Normal 107 4" xfId="787"/>
    <cellStyle name="Normal 107 4 2" xfId="3787"/>
    <cellStyle name="Normal 107 5" xfId="788"/>
    <cellStyle name="Normal 108 2" xfId="789"/>
    <cellStyle name="Normal 108 2 2" xfId="790"/>
    <cellStyle name="Normal 108 2 3" xfId="3788"/>
    <cellStyle name="Normal 108 3" xfId="791"/>
    <cellStyle name="Normal 108 3 2" xfId="792"/>
    <cellStyle name="Normal 108 4" xfId="793"/>
    <cellStyle name="Normal 108 4 2" xfId="3789"/>
    <cellStyle name="Normal 108 5" xfId="794"/>
    <cellStyle name="Normal 109 2" xfId="795"/>
    <cellStyle name="Normal 109 2 2" xfId="796"/>
    <cellStyle name="Normal 109 2 3" xfId="3790"/>
    <cellStyle name="Normal 109 3" xfId="797"/>
    <cellStyle name="Normal 109 3 2" xfId="798"/>
    <cellStyle name="Normal 109 4" xfId="799"/>
    <cellStyle name="Normal 109 4 2" xfId="3791"/>
    <cellStyle name="Normal 109 5" xfId="800"/>
    <cellStyle name="Normal 11 10" xfId="801"/>
    <cellStyle name="Normal 11 10 2" xfId="802"/>
    <cellStyle name="Normal 11 10 2 2" xfId="803"/>
    <cellStyle name="Normal 11 10 2 3" xfId="3792"/>
    <cellStyle name="Normal 11 10 3" xfId="804"/>
    <cellStyle name="Normal 11 10 3 2" xfId="805"/>
    <cellStyle name="Normal 11 10 4" xfId="806"/>
    <cellStyle name="Normal 11 10 4 2" xfId="807"/>
    <cellStyle name="Normal 11 10 5" xfId="808"/>
    <cellStyle name="Normal 11 10 5 2" xfId="3793"/>
    <cellStyle name="Normal 11 10 6" xfId="809"/>
    <cellStyle name="Normal 11 11" xfId="810"/>
    <cellStyle name="Normal 11 11 2" xfId="811"/>
    <cellStyle name="Normal 11 11 3" xfId="3794"/>
    <cellStyle name="Normal 11 12" xfId="812"/>
    <cellStyle name="Normal 11 12 2" xfId="813"/>
    <cellStyle name="Normal 11 13" xfId="814"/>
    <cellStyle name="Normal 11 13 2" xfId="3795"/>
    <cellStyle name="Normal 11 14" xfId="815"/>
    <cellStyle name="Normal 11 2" xfId="816"/>
    <cellStyle name="Normal 11 2 2" xfId="817"/>
    <cellStyle name="Normal 11 2 2 2" xfId="818"/>
    <cellStyle name="Normal 11 2 2 3" xfId="3796"/>
    <cellStyle name="Normal 11 2 3" xfId="819"/>
    <cellStyle name="Normal 11 2 3 2" xfId="820"/>
    <cellStyle name="Normal 11 2 4" xfId="821"/>
    <cellStyle name="Normal 11 2 4 2" xfId="822"/>
    <cellStyle name="Normal 11 2 5" xfId="823"/>
    <cellStyle name="Normal 11 2 5 2" xfId="3797"/>
    <cellStyle name="Normal 11 2 6" xfId="824"/>
    <cellStyle name="Normal 11 3" xfId="825"/>
    <cellStyle name="Normal 11 3 2" xfId="826"/>
    <cellStyle name="Normal 11 3 2 2" xfId="827"/>
    <cellStyle name="Normal 11 3 2 3" xfId="3798"/>
    <cellStyle name="Normal 11 3 3" xfId="828"/>
    <cellStyle name="Normal 11 3 3 2" xfId="829"/>
    <cellStyle name="Normal 11 3 4" xfId="830"/>
    <cellStyle name="Normal 11 3 4 2" xfId="831"/>
    <cellStyle name="Normal 11 3 5" xfId="832"/>
    <cellStyle name="Normal 11 3 5 2" xfId="3799"/>
    <cellStyle name="Normal 11 3 6" xfId="833"/>
    <cellStyle name="Normal 11 4" xfId="834"/>
    <cellStyle name="Normal 11 4 2" xfId="835"/>
    <cellStyle name="Normal 11 4 2 2" xfId="836"/>
    <cellStyle name="Normal 11 4 2 3" xfId="3800"/>
    <cellStyle name="Normal 11 4 3" xfId="837"/>
    <cellStyle name="Normal 11 4 3 2" xfId="838"/>
    <cellStyle name="Normal 11 4 4" xfId="839"/>
    <cellStyle name="Normal 11 4 4 2" xfId="840"/>
    <cellStyle name="Normal 11 4 5" xfId="841"/>
    <cellStyle name="Normal 11 4 5 2" xfId="3801"/>
    <cellStyle name="Normal 11 4 6" xfId="842"/>
    <cellStyle name="Normal 11 5" xfId="843"/>
    <cellStyle name="Normal 11 5 2" xfId="844"/>
    <cellStyle name="Normal 11 5 2 2" xfId="845"/>
    <cellStyle name="Normal 11 5 2 3" xfId="3802"/>
    <cellStyle name="Normal 11 5 3" xfId="846"/>
    <cellStyle name="Normal 11 5 3 2" xfId="847"/>
    <cellStyle name="Normal 11 5 4" xfId="848"/>
    <cellStyle name="Normal 11 5 4 2" xfId="849"/>
    <cellStyle name="Normal 11 5 5" xfId="850"/>
    <cellStyle name="Normal 11 5 5 2" xfId="3803"/>
    <cellStyle name="Normal 11 5 6" xfId="851"/>
    <cellStyle name="Normal 11 6" xfId="852"/>
    <cellStyle name="Normal 11 6 2" xfId="853"/>
    <cellStyle name="Normal 11 6 2 2" xfId="854"/>
    <cellStyle name="Normal 11 6 2 3" xfId="3804"/>
    <cellStyle name="Normal 11 6 3" xfId="855"/>
    <cellStyle name="Normal 11 6 3 2" xfId="856"/>
    <cellStyle name="Normal 11 6 4" xfId="857"/>
    <cellStyle name="Normal 11 6 4 2" xfId="858"/>
    <cellStyle name="Normal 11 6 5" xfId="859"/>
    <cellStyle name="Normal 11 6 5 2" xfId="3805"/>
    <cellStyle name="Normal 11 6 6" xfId="860"/>
    <cellStyle name="Normal 11 7" xfId="861"/>
    <cellStyle name="Normal 11 7 2" xfId="862"/>
    <cellStyle name="Normal 11 7 2 2" xfId="863"/>
    <cellStyle name="Normal 11 7 2 3" xfId="3806"/>
    <cellStyle name="Normal 11 7 3" xfId="864"/>
    <cellStyle name="Normal 11 7 3 2" xfId="865"/>
    <cellStyle name="Normal 11 7 4" xfId="866"/>
    <cellStyle name="Normal 11 7 4 2" xfId="867"/>
    <cellStyle name="Normal 11 7 5" xfId="868"/>
    <cellStyle name="Normal 11 7 5 2" xfId="3807"/>
    <cellStyle name="Normal 11 7 6" xfId="869"/>
    <cellStyle name="Normal 11 8" xfId="870"/>
    <cellStyle name="Normal 11 8 2" xfId="871"/>
    <cellStyle name="Normal 11 8 2 2" xfId="872"/>
    <cellStyle name="Normal 11 8 2 3" xfId="3808"/>
    <cellStyle name="Normal 11 8 3" xfId="873"/>
    <cellStyle name="Normal 11 8 3 2" xfId="874"/>
    <cellStyle name="Normal 11 8 4" xfId="875"/>
    <cellStyle name="Normal 11 8 4 2" xfId="876"/>
    <cellStyle name="Normal 11 8 5" xfId="877"/>
    <cellStyle name="Normal 11 8 5 2" xfId="3809"/>
    <cellStyle name="Normal 11 8 6" xfId="878"/>
    <cellStyle name="Normal 11 9" xfId="879"/>
    <cellStyle name="Normal 11 9 2" xfId="880"/>
    <cellStyle name="Normal 11 9 2 2" xfId="881"/>
    <cellStyle name="Normal 11 9 2 3" xfId="3810"/>
    <cellStyle name="Normal 11 9 3" xfId="882"/>
    <cellStyle name="Normal 11 9 3 2" xfId="883"/>
    <cellStyle name="Normal 11 9 4" xfId="884"/>
    <cellStyle name="Normal 11 9 4 2" xfId="885"/>
    <cellStyle name="Normal 11 9 5" xfId="886"/>
    <cellStyle name="Normal 11 9 5 2" xfId="3811"/>
    <cellStyle name="Normal 11 9 6" xfId="887"/>
    <cellStyle name="Normal 110 2" xfId="888"/>
    <cellStyle name="Normal 110 2 2" xfId="889"/>
    <cellStyle name="Normal 110 2 3" xfId="3812"/>
    <cellStyle name="Normal 110 3" xfId="890"/>
    <cellStyle name="Normal 110 3 2" xfId="891"/>
    <cellStyle name="Normal 110 4" xfId="892"/>
    <cellStyle name="Normal 110 4 2" xfId="3813"/>
    <cellStyle name="Normal 110 5" xfId="893"/>
    <cellStyle name="Normal 111 2" xfId="894"/>
    <cellStyle name="Normal 111 2 2" xfId="895"/>
    <cellStyle name="Normal 111 2 3" xfId="3814"/>
    <cellStyle name="Normal 111 3" xfId="896"/>
    <cellStyle name="Normal 111 3 2" xfId="897"/>
    <cellStyle name="Normal 111 4" xfId="898"/>
    <cellStyle name="Normal 111 4 2" xfId="3815"/>
    <cellStyle name="Normal 111 5" xfId="899"/>
    <cellStyle name="Normal 112 2" xfId="900"/>
    <cellStyle name="Normal 112 2 2" xfId="901"/>
    <cellStyle name="Normal 112 2 3" xfId="3816"/>
    <cellStyle name="Normal 112 3" xfId="902"/>
    <cellStyle name="Normal 112 3 2" xfId="903"/>
    <cellStyle name="Normal 112 4" xfId="904"/>
    <cellStyle name="Normal 112 4 2" xfId="3817"/>
    <cellStyle name="Normal 112 5" xfId="905"/>
    <cellStyle name="Normal 113 2" xfId="906"/>
    <cellStyle name="Normal 113 2 2" xfId="907"/>
    <cellStyle name="Normal 113 2 3" xfId="3818"/>
    <cellStyle name="Normal 113 3" xfId="908"/>
    <cellStyle name="Normal 113 3 2" xfId="909"/>
    <cellStyle name="Normal 113 4" xfId="910"/>
    <cellStyle name="Normal 113 4 2" xfId="3819"/>
    <cellStyle name="Normal 113 5" xfId="911"/>
    <cellStyle name="Normal 114 2" xfId="912"/>
    <cellStyle name="Normal 114 2 2" xfId="913"/>
    <cellStyle name="Normal 114 2 3" xfId="3820"/>
    <cellStyle name="Normal 114 3" xfId="914"/>
    <cellStyle name="Normal 114 3 2" xfId="915"/>
    <cellStyle name="Normal 114 4" xfId="916"/>
    <cellStyle name="Normal 114 4 2" xfId="3821"/>
    <cellStyle name="Normal 114 5" xfId="917"/>
    <cellStyle name="Normal 115 2" xfId="918"/>
    <cellStyle name="Normal 115 2 2" xfId="919"/>
    <cellStyle name="Normal 115 2 3" xfId="3822"/>
    <cellStyle name="Normal 115 3" xfId="920"/>
    <cellStyle name="Normal 115 3 2" xfId="921"/>
    <cellStyle name="Normal 115 4" xfId="922"/>
    <cellStyle name="Normal 115 4 2" xfId="3823"/>
    <cellStyle name="Normal 115 5" xfId="923"/>
    <cellStyle name="Normal 116 2" xfId="924"/>
    <cellStyle name="Normal 116 2 2" xfId="925"/>
    <cellStyle name="Normal 116 2 3" xfId="3824"/>
    <cellStyle name="Normal 116 3" xfId="926"/>
    <cellStyle name="Normal 116 3 2" xfId="927"/>
    <cellStyle name="Normal 116 4" xfId="928"/>
    <cellStyle name="Normal 116 4 2" xfId="3825"/>
    <cellStyle name="Normal 116 5" xfId="929"/>
    <cellStyle name="Normal 117 2" xfId="930"/>
    <cellStyle name="Normal 117 2 2" xfId="931"/>
    <cellStyle name="Normal 117 2 3" xfId="3826"/>
    <cellStyle name="Normal 117 3" xfId="932"/>
    <cellStyle name="Normal 117 3 2" xfId="933"/>
    <cellStyle name="Normal 117 4" xfId="934"/>
    <cellStyle name="Normal 117 4 2" xfId="3827"/>
    <cellStyle name="Normal 117 5" xfId="935"/>
    <cellStyle name="Normal 118 2" xfId="936"/>
    <cellStyle name="Normal 118 3" xfId="937"/>
    <cellStyle name="Normal 119 2" xfId="938"/>
    <cellStyle name="Normal 119 3" xfId="939"/>
    <cellStyle name="Normal 12 2" xfId="940"/>
    <cellStyle name="Normal 12 2 2" xfId="941"/>
    <cellStyle name="Normal 12 2 3" xfId="3828"/>
    <cellStyle name="Normal 12 3" xfId="942"/>
    <cellStyle name="Normal 12 3 2" xfId="943"/>
    <cellStyle name="Normal 12 4" xfId="944"/>
    <cellStyle name="Normal 12 4 2" xfId="3829"/>
    <cellStyle name="Normal 12 5" xfId="945"/>
    <cellStyle name="Normal 120" xfId="946"/>
    <cellStyle name="Normal 120 2" xfId="947"/>
    <cellStyle name="Normal 120 2 2" xfId="948"/>
    <cellStyle name="Normal 121" xfId="949"/>
    <cellStyle name="Normal 121 2" xfId="950"/>
    <cellStyle name="Normal 121 2 2" xfId="951"/>
    <cellStyle name="Normal 122" xfId="952"/>
    <cellStyle name="Normal 122 2" xfId="953"/>
    <cellStyle name="Normal 122 2 2" xfId="954"/>
    <cellStyle name="Normal 123" xfId="955"/>
    <cellStyle name="Normal 123 2" xfId="956"/>
    <cellStyle name="Normal 123 2 2" xfId="957"/>
    <cellStyle name="Normal 124" xfId="958"/>
    <cellStyle name="Normal 124 2" xfId="959"/>
    <cellStyle name="Normal 124 2 2" xfId="960"/>
    <cellStyle name="Normal 125" xfId="961"/>
    <cellStyle name="Normal 125 2" xfId="962"/>
    <cellStyle name="Normal 125 2 2" xfId="963"/>
    <cellStyle name="Normal 126" xfId="964"/>
    <cellStyle name="Normal 126 2" xfId="965"/>
    <cellStyle name="Normal 126 2 2" xfId="966"/>
    <cellStyle name="Normal 127" xfId="967"/>
    <cellStyle name="Normal 127 2" xfId="968"/>
    <cellStyle name="Normal 127 2 2" xfId="969"/>
    <cellStyle name="Normal 128" xfId="970"/>
    <cellStyle name="Normal 128 2" xfId="971"/>
    <cellStyle name="Normal 128 2 2" xfId="972"/>
    <cellStyle name="Normal 129" xfId="973"/>
    <cellStyle name="Normal 129 2" xfId="974"/>
    <cellStyle name="Normal 129 2 2" xfId="975"/>
    <cellStyle name="Normal 13 10" xfId="976"/>
    <cellStyle name="Normal 13 10 2" xfId="977"/>
    <cellStyle name="Normal 13 10 2 2" xfId="978"/>
    <cellStyle name="Normal 13 10 2 3" xfId="3830"/>
    <cellStyle name="Normal 13 10 3" xfId="979"/>
    <cellStyle name="Normal 13 10 3 2" xfId="980"/>
    <cellStyle name="Normal 13 10 4" xfId="981"/>
    <cellStyle name="Normal 13 10 4 2" xfId="982"/>
    <cellStyle name="Normal 13 10 5" xfId="983"/>
    <cellStyle name="Normal 13 10 5 2" xfId="3831"/>
    <cellStyle name="Normal 13 10 6" xfId="984"/>
    <cellStyle name="Normal 13 11" xfId="985"/>
    <cellStyle name="Normal 13 11 2" xfId="986"/>
    <cellStyle name="Normal 13 11 2 2" xfId="987"/>
    <cellStyle name="Normal 13 11 2 3" xfId="3832"/>
    <cellStyle name="Normal 13 11 3" xfId="988"/>
    <cellStyle name="Normal 13 11 3 2" xfId="989"/>
    <cellStyle name="Normal 13 11 4" xfId="990"/>
    <cellStyle name="Normal 13 11 4 2" xfId="991"/>
    <cellStyle name="Normal 13 11 5" xfId="992"/>
    <cellStyle name="Normal 13 11 5 2" xfId="3833"/>
    <cellStyle name="Normal 13 11 6" xfId="993"/>
    <cellStyle name="Normal 13 12" xfId="994"/>
    <cellStyle name="Normal 13 12 2" xfId="995"/>
    <cellStyle name="Normal 13 12 3" xfId="3834"/>
    <cellStyle name="Normal 13 13" xfId="996"/>
    <cellStyle name="Normal 13 13 2" xfId="997"/>
    <cellStyle name="Normal 13 14" xfId="998"/>
    <cellStyle name="Normal 13 14 2" xfId="3835"/>
    <cellStyle name="Normal 13 15" xfId="999"/>
    <cellStyle name="Normal 13 2" xfId="1000"/>
    <cellStyle name="Normal 13 2 2" xfId="1001"/>
    <cellStyle name="Normal 13 2 2 2" xfId="1002"/>
    <cellStyle name="Normal 13 2 2 3" xfId="3836"/>
    <cellStyle name="Normal 13 2 3" xfId="1003"/>
    <cellStyle name="Normal 13 2 3 2" xfId="1004"/>
    <cellStyle name="Normal 13 2 4" xfId="1005"/>
    <cellStyle name="Normal 13 2 4 2" xfId="1006"/>
    <cellStyle name="Normal 13 2 5" xfId="1007"/>
    <cellStyle name="Normal 13 2 5 2" xfId="3837"/>
    <cellStyle name="Normal 13 2 6" xfId="1008"/>
    <cellStyle name="Normal 13 3" xfId="1009"/>
    <cellStyle name="Normal 13 3 2" xfId="1010"/>
    <cellStyle name="Normal 13 3 2 2" xfId="1011"/>
    <cellStyle name="Normal 13 3 2 3" xfId="3838"/>
    <cellStyle name="Normal 13 3 3" xfId="1012"/>
    <cellStyle name="Normal 13 3 3 2" xfId="1013"/>
    <cellStyle name="Normal 13 3 4" xfId="1014"/>
    <cellStyle name="Normal 13 3 4 2" xfId="1015"/>
    <cellStyle name="Normal 13 3 5" xfId="1016"/>
    <cellStyle name="Normal 13 3 5 2" xfId="3839"/>
    <cellStyle name="Normal 13 3 6" xfId="1017"/>
    <cellStyle name="Normal 13 4" xfId="1018"/>
    <cellStyle name="Normal 13 4 2" xfId="1019"/>
    <cellStyle name="Normal 13 4 2 2" xfId="1020"/>
    <cellStyle name="Normal 13 4 2 3" xfId="3840"/>
    <cellStyle name="Normal 13 4 3" xfId="1021"/>
    <cellStyle name="Normal 13 4 3 2" xfId="1022"/>
    <cellStyle name="Normal 13 4 4" xfId="1023"/>
    <cellStyle name="Normal 13 4 4 2" xfId="1024"/>
    <cellStyle name="Normal 13 4 5" xfId="1025"/>
    <cellStyle name="Normal 13 4 5 2" xfId="3841"/>
    <cellStyle name="Normal 13 4 6" xfId="1026"/>
    <cellStyle name="Normal 13 5" xfId="1027"/>
    <cellStyle name="Normal 13 5 2" xfId="1028"/>
    <cellStyle name="Normal 13 5 2 2" xfId="1029"/>
    <cellStyle name="Normal 13 5 2 3" xfId="3842"/>
    <cellStyle name="Normal 13 5 3" xfId="1030"/>
    <cellStyle name="Normal 13 5 3 2" xfId="1031"/>
    <cellStyle name="Normal 13 5 4" xfId="1032"/>
    <cellStyle name="Normal 13 5 4 2" xfId="1033"/>
    <cellStyle name="Normal 13 5 5" xfId="1034"/>
    <cellStyle name="Normal 13 5 5 2" xfId="3843"/>
    <cellStyle name="Normal 13 5 6" xfId="1035"/>
    <cellStyle name="Normal 13 6" xfId="1036"/>
    <cellStyle name="Normal 13 6 2" xfId="1037"/>
    <cellStyle name="Normal 13 6 2 2" xfId="1038"/>
    <cellStyle name="Normal 13 6 2 3" xfId="3844"/>
    <cellStyle name="Normal 13 6 3" xfId="1039"/>
    <cellStyle name="Normal 13 6 3 2" xfId="1040"/>
    <cellStyle name="Normal 13 6 4" xfId="1041"/>
    <cellStyle name="Normal 13 6 4 2" xfId="1042"/>
    <cellStyle name="Normal 13 6 5" xfId="1043"/>
    <cellStyle name="Normal 13 6 5 2" xfId="3845"/>
    <cellStyle name="Normal 13 6 6" xfId="1044"/>
    <cellStyle name="Normal 13 7" xfId="1045"/>
    <cellStyle name="Normal 13 7 2" xfId="1046"/>
    <cellStyle name="Normal 13 7 2 2" xfId="1047"/>
    <cellStyle name="Normal 13 7 2 3" xfId="3846"/>
    <cellStyle name="Normal 13 7 3" xfId="1048"/>
    <cellStyle name="Normal 13 7 3 2" xfId="1049"/>
    <cellStyle name="Normal 13 7 4" xfId="1050"/>
    <cellStyle name="Normal 13 7 4 2" xfId="1051"/>
    <cellStyle name="Normal 13 7 5" xfId="1052"/>
    <cellStyle name="Normal 13 7 5 2" xfId="3847"/>
    <cellStyle name="Normal 13 7 6" xfId="1053"/>
    <cellStyle name="Normal 13 8" xfId="1054"/>
    <cellStyle name="Normal 13 8 2" xfId="1055"/>
    <cellStyle name="Normal 13 8 2 2" xfId="1056"/>
    <cellStyle name="Normal 13 8 2 3" xfId="3848"/>
    <cellStyle name="Normal 13 8 3" xfId="1057"/>
    <cellStyle name="Normal 13 8 3 2" xfId="1058"/>
    <cellStyle name="Normal 13 8 4" xfId="1059"/>
    <cellStyle name="Normal 13 8 4 2" xfId="1060"/>
    <cellStyle name="Normal 13 8 5" xfId="1061"/>
    <cellStyle name="Normal 13 8 5 2" xfId="3849"/>
    <cellStyle name="Normal 13 8 6" xfId="1062"/>
    <cellStyle name="Normal 13 9" xfId="1063"/>
    <cellStyle name="Normal 13 9 2" xfId="1064"/>
    <cellStyle name="Normal 13 9 2 2" xfId="1065"/>
    <cellStyle name="Normal 13 9 2 3" xfId="3850"/>
    <cellStyle name="Normal 13 9 3" xfId="1066"/>
    <cellStyle name="Normal 13 9 3 2" xfId="1067"/>
    <cellStyle name="Normal 13 9 4" xfId="1068"/>
    <cellStyle name="Normal 13 9 4 2" xfId="1069"/>
    <cellStyle name="Normal 13 9 5" xfId="1070"/>
    <cellStyle name="Normal 13 9 5 2" xfId="3851"/>
    <cellStyle name="Normal 13 9 6" xfId="1071"/>
    <cellStyle name="Normal 130" xfId="1072"/>
    <cellStyle name="Normal 130 2" xfId="1073"/>
    <cellStyle name="Normal 130 2 2" xfId="1074"/>
    <cellStyle name="Normal 131" xfId="1075"/>
    <cellStyle name="Normal 131 2" xfId="1076"/>
    <cellStyle name="Normal 131 2 2" xfId="1077"/>
    <cellStyle name="Normal 132" xfId="1078"/>
    <cellStyle name="Normal 132 2" xfId="1079"/>
    <cellStyle name="Normal 132 2 2" xfId="1080"/>
    <cellStyle name="Normal 133" xfId="1081"/>
    <cellStyle name="Normal 133 2" xfId="1082"/>
    <cellStyle name="Normal 133 2 2" xfId="1083"/>
    <cellStyle name="Normal 134" xfId="1084"/>
    <cellStyle name="Normal 134 2" xfId="1085"/>
    <cellStyle name="Normal 134 2 2" xfId="1086"/>
    <cellStyle name="Normal 135" xfId="1087"/>
    <cellStyle name="Normal 135 2" xfId="1088"/>
    <cellStyle name="Normal 135 2 2" xfId="1089"/>
    <cellStyle name="Normal 136" xfId="1090"/>
    <cellStyle name="Normal 136 2" xfId="1091"/>
    <cellStyle name="Normal 136 2 2" xfId="1092"/>
    <cellStyle name="Normal 137" xfId="1093"/>
    <cellStyle name="Normal 137 2" xfId="1094"/>
    <cellStyle name="Normal 137 2 2" xfId="1095"/>
    <cellStyle name="Normal 138" xfId="1096"/>
    <cellStyle name="Normal 138 2" xfId="1097"/>
    <cellStyle name="Normal 138 2 2" xfId="1098"/>
    <cellStyle name="Normal 139" xfId="1099"/>
    <cellStyle name="Normal 139 2" xfId="1100"/>
    <cellStyle name="Normal 139 2 2" xfId="1101"/>
    <cellStyle name="Normal 14 10" xfId="1102"/>
    <cellStyle name="Normal 14 10 2" xfId="1103"/>
    <cellStyle name="Normal 14 10 2 2" xfId="1104"/>
    <cellStyle name="Normal 14 10 2 3" xfId="3852"/>
    <cellStyle name="Normal 14 10 3" xfId="1105"/>
    <cellStyle name="Normal 14 10 3 2" xfId="1106"/>
    <cellStyle name="Normal 14 10 4" xfId="1107"/>
    <cellStyle name="Normal 14 10 4 2" xfId="1108"/>
    <cellStyle name="Normal 14 10 5" xfId="1109"/>
    <cellStyle name="Normal 14 10 5 2" xfId="3853"/>
    <cellStyle name="Normal 14 10 6" xfId="1110"/>
    <cellStyle name="Normal 14 11" xfId="1111"/>
    <cellStyle name="Normal 14 11 2" xfId="1112"/>
    <cellStyle name="Normal 14 11 2 2" xfId="1113"/>
    <cellStyle name="Normal 14 11 2 3" xfId="3854"/>
    <cellStyle name="Normal 14 11 3" xfId="1114"/>
    <cellStyle name="Normal 14 11 3 2" xfId="1115"/>
    <cellStyle name="Normal 14 11 4" xfId="1116"/>
    <cellStyle name="Normal 14 11 4 2" xfId="1117"/>
    <cellStyle name="Normal 14 11 5" xfId="1118"/>
    <cellStyle name="Normal 14 11 5 2" xfId="3855"/>
    <cellStyle name="Normal 14 11 6" xfId="1119"/>
    <cellStyle name="Normal 14 12" xfId="1120"/>
    <cellStyle name="Normal 14 12 2" xfId="1121"/>
    <cellStyle name="Normal 14 12 3" xfId="3856"/>
    <cellStyle name="Normal 14 13" xfId="1122"/>
    <cellStyle name="Normal 14 13 2" xfId="1123"/>
    <cellStyle name="Normal 14 14" xfId="1124"/>
    <cellStyle name="Normal 14 14 2" xfId="3857"/>
    <cellStyle name="Normal 14 15" xfId="1125"/>
    <cellStyle name="Normal 14 2" xfId="1126"/>
    <cellStyle name="Normal 14 2 2" xfId="1127"/>
    <cellStyle name="Normal 14 2 2 2" xfId="1128"/>
    <cellStyle name="Normal 14 2 2 3" xfId="3858"/>
    <cellStyle name="Normal 14 2 3" xfId="1129"/>
    <cellStyle name="Normal 14 2 3 2" xfId="1130"/>
    <cellStyle name="Normal 14 2 4" xfId="1131"/>
    <cellStyle name="Normal 14 2 4 2" xfId="1132"/>
    <cellStyle name="Normal 14 2 5" xfId="1133"/>
    <cellStyle name="Normal 14 2 5 2" xfId="3859"/>
    <cellStyle name="Normal 14 2 6" xfId="1134"/>
    <cellStyle name="Normal 14 3" xfId="1135"/>
    <cellStyle name="Normal 14 3 2" xfId="1136"/>
    <cellStyle name="Normal 14 3 2 2" xfId="1137"/>
    <cellStyle name="Normal 14 3 2 3" xfId="3860"/>
    <cellStyle name="Normal 14 3 3" xfId="1138"/>
    <cellStyle name="Normal 14 3 3 2" xfId="1139"/>
    <cellStyle name="Normal 14 3 4" xfId="1140"/>
    <cellStyle name="Normal 14 3 4 2" xfId="1141"/>
    <cellStyle name="Normal 14 3 5" xfId="1142"/>
    <cellStyle name="Normal 14 3 5 2" xfId="3861"/>
    <cellStyle name="Normal 14 3 6" xfId="1143"/>
    <cellStyle name="Normal 14 4" xfId="1144"/>
    <cellStyle name="Normal 14 4 2" xfId="1145"/>
    <cellStyle name="Normal 14 4 2 2" xfId="1146"/>
    <cellStyle name="Normal 14 4 2 3" xfId="3862"/>
    <cellStyle name="Normal 14 4 3" xfId="1147"/>
    <cellStyle name="Normal 14 4 3 2" xfId="1148"/>
    <cellStyle name="Normal 14 4 4" xfId="1149"/>
    <cellStyle name="Normal 14 4 4 2" xfId="1150"/>
    <cellStyle name="Normal 14 4 5" xfId="1151"/>
    <cellStyle name="Normal 14 4 5 2" xfId="3863"/>
    <cellStyle name="Normal 14 4 6" xfId="1152"/>
    <cellStyle name="Normal 14 5" xfId="1153"/>
    <cellStyle name="Normal 14 5 2" xfId="1154"/>
    <cellStyle name="Normal 14 5 2 2" xfId="1155"/>
    <cellStyle name="Normal 14 5 2 3" xfId="3864"/>
    <cellStyle name="Normal 14 5 3" xfId="1156"/>
    <cellStyle name="Normal 14 5 3 2" xfId="1157"/>
    <cellStyle name="Normal 14 5 4" xfId="1158"/>
    <cellStyle name="Normal 14 5 4 2" xfId="1159"/>
    <cellStyle name="Normal 14 5 5" xfId="1160"/>
    <cellStyle name="Normal 14 5 5 2" xfId="3865"/>
    <cellStyle name="Normal 14 5 6" xfId="1161"/>
    <cellStyle name="Normal 14 6" xfId="1162"/>
    <cellStyle name="Normal 14 6 2" xfId="1163"/>
    <cellStyle name="Normal 14 6 2 2" xfId="1164"/>
    <cellStyle name="Normal 14 6 2 3" xfId="3866"/>
    <cellStyle name="Normal 14 6 3" xfId="1165"/>
    <cellStyle name="Normal 14 6 3 2" xfId="1166"/>
    <cellStyle name="Normal 14 6 4" xfId="1167"/>
    <cellStyle name="Normal 14 6 4 2" xfId="1168"/>
    <cellStyle name="Normal 14 6 5" xfId="1169"/>
    <cellStyle name="Normal 14 6 5 2" xfId="3867"/>
    <cellStyle name="Normal 14 6 6" xfId="1170"/>
    <cellStyle name="Normal 14 7" xfId="1171"/>
    <cellStyle name="Normal 14 7 2" xfId="1172"/>
    <cellStyle name="Normal 14 7 2 2" xfId="1173"/>
    <cellStyle name="Normal 14 7 2 3" xfId="3868"/>
    <cellStyle name="Normal 14 7 3" xfId="1174"/>
    <cellStyle name="Normal 14 7 3 2" xfId="1175"/>
    <cellStyle name="Normal 14 7 4" xfId="1176"/>
    <cellStyle name="Normal 14 7 4 2" xfId="1177"/>
    <cellStyle name="Normal 14 7 5" xfId="1178"/>
    <cellStyle name="Normal 14 7 5 2" xfId="3869"/>
    <cellStyle name="Normal 14 7 6" xfId="1179"/>
    <cellStyle name="Normal 14 8" xfId="1180"/>
    <cellStyle name="Normal 14 8 2" xfId="1181"/>
    <cellStyle name="Normal 14 8 2 2" xfId="1182"/>
    <cellStyle name="Normal 14 8 2 3" xfId="3870"/>
    <cellStyle name="Normal 14 8 3" xfId="1183"/>
    <cellStyle name="Normal 14 8 3 2" xfId="1184"/>
    <cellStyle name="Normal 14 8 4" xfId="1185"/>
    <cellStyle name="Normal 14 8 4 2" xfId="1186"/>
    <cellStyle name="Normal 14 8 5" xfId="1187"/>
    <cellStyle name="Normal 14 8 5 2" xfId="3871"/>
    <cellStyle name="Normal 14 8 6" xfId="1188"/>
    <cellStyle name="Normal 14 9" xfId="1189"/>
    <cellStyle name="Normal 14 9 2" xfId="1190"/>
    <cellStyle name="Normal 14 9 2 2" xfId="1191"/>
    <cellStyle name="Normal 14 9 2 3" xfId="3872"/>
    <cellStyle name="Normal 14 9 3" xfId="1192"/>
    <cellStyle name="Normal 14 9 3 2" xfId="1193"/>
    <cellStyle name="Normal 14 9 4" xfId="1194"/>
    <cellStyle name="Normal 14 9 4 2" xfId="1195"/>
    <cellStyle name="Normal 14 9 5" xfId="1196"/>
    <cellStyle name="Normal 14 9 5 2" xfId="3873"/>
    <cellStyle name="Normal 14 9 6" xfId="1197"/>
    <cellStyle name="Normal 140" xfId="1198"/>
    <cellStyle name="Normal 140 2" xfId="1199"/>
    <cellStyle name="Normal 140 2 2" xfId="1200"/>
    <cellStyle name="Normal 141" xfId="1201"/>
    <cellStyle name="Normal 141 2" xfId="1202"/>
    <cellStyle name="Normal 141 2 2" xfId="1203"/>
    <cellStyle name="Normal 142" xfId="1204"/>
    <cellStyle name="Normal 142 2" xfId="1205"/>
    <cellStyle name="Normal 142 2 2" xfId="1206"/>
    <cellStyle name="Normal 143" xfId="1207"/>
    <cellStyle name="Normal 143 2" xfId="1208"/>
    <cellStyle name="Normal 143 2 2" xfId="1209"/>
    <cellStyle name="Normal 144" xfId="1210"/>
    <cellStyle name="Normal 144 2" xfId="1211"/>
    <cellStyle name="Normal 144 2 2" xfId="1212"/>
    <cellStyle name="Normal 145" xfId="1213"/>
    <cellStyle name="Normal 145 2" xfId="1214"/>
    <cellStyle name="Normal 145 2 2" xfId="1215"/>
    <cellStyle name="Normal 146" xfId="1216"/>
    <cellStyle name="Normal 146 2" xfId="1217"/>
    <cellStyle name="Normal 146 2 2" xfId="1218"/>
    <cellStyle name="Normal 147" xfId="1219"/>
    <cellStyle name="Normal 147 2" xfId="1220"/>
    <cellStyle name="Normal 147 2 2" xfId="1221"/>
    <cellStyle name="Normal 148" xfId="1222"/>
    <cellStyle name="Normal 148 2" xfId="1223"/>
    <cellStyle name="Normal 148 2 2" xfId="1224"/>
    <cellStyle name="Normal 149" xfId="1225"/>
    <cellStyle name="Normal 149 2" xfId="1226"/>
    <cellStyle name="Normal 149 2 2" xfId="1227"/>
    <cellStyle name="Normal 15 10" xfId="1228"/>
    <cellStyle name="Normal 15 10 2" xfId="1229"/>
    <cellStyle name="Normal 15 10 3" xfId="3874"/>
    <cellStyle name="Normal 15 11" xfId="1230"/>
    <cellStyle name="Normal 15 11 2" xfId="1231"/>
    <cellStyle name="Normal 15 12" xfId="1232"/>
    <cellStyle name="Normal 15 12 2" xfId="3875"/>
    <cellStyle name="Normal 15 13" xfId="1233"/>
    <cellStyle name="Normal 15 2" xfId="1234"/>
    <cellStyle name="Normal 15 2 2" xfId="1235"/>
    <cellStyle name="Normal 15 2 2 2" xfId="1236"/>
    <cellStyle name="Normal 15 2 2 3" xfId="3876"/>
    <cellStyle name="Normal 15 2 3" xfId="1237"/>
    <cellStyle name="Normal 15 2 3 2" xfId="1238"/>
    <cellStyle name="Normal 15 2 4" xfId="1239"/>
    <cellStyle name="Normal 15 2 4 2" xfId="1240"/>
    <cellStyle name="Normal 15 2 5" xfId="1241"/>
    <cellStyle name="Normal 15 2 5 2" xfId="3877"/>
    <cellStyle name="Normal 15 2 6" xfId="1242"/>
    <cellStyle name="Normal 15 3" xfId="1243"/>
    <cellStyle name="Normal 15 3 2" xfId="1244"/>
    <cellStyle name="Normal 15 3 2 2" xfId="1245"/>
    <cellStyle name="Normal 15 3 2 3" xfId="3878"/>
    <cellStyle name="Normal 15 3 3" xfId="1246"/>
    <cellStyle name="Normal 15 3 3 2" xfId="1247"/>
    <cellStyle name="Normal 15 3 4" xfId="1248"/>
    <cellStyle name="Normal 15 3 4 2" xfId="1249"/>
    <cellStyle name="Normal 15 3 5" xfId="1250"/>
    <cellStyle name="Normal 15 3 5 2" xfId="3879"/>
    <cellStyle name="Normal 15 3 6" xfId="1251"/>
    <cellStyle name="Normal 15 4" xfId="1252"/>
    <cellStyle name="Normal 15 4 2" xfId="1253"/>
    <cellStyle name="Normal 15 4 2 2" xfId="1254"/>
    <cellStyle name="Normal 15 4 2 3" xfId="3880"/>
    <cellStyle name="Normal 15 4 3" xfId="1255"/>
    <cellStyle name="Normal 15 4 3 2" xfId="1256"/>
    <cellStyle name="Normal 15 4 4" xfId="1257"/>
    <cellStyle name="Normal 15 4 4 2" xfId="1258"/>
    <cellStyle name="Normal 15 4 5" xfId="1259"/>
    <cellStyle name="Normal 15 4 5 2" xfId="3881"/>
    <cellStyle name="Normal 15 4 6" xfId="1260"/>
    <cellStyle name="Normal 15 5" xfId="1261"/>
    <cellStyle name="Normal 15 5 2" xfId="1262"/>
    <cellStyle name="Normal 15 5 2 2" xfId="1263"/>
    <cellStyle name="Normal 15 5 2 3" xfId="3882"/>
    <cellStyle name="Normal 15 5 3" xfId="1264"/>
    <cellStyle name="Normal 15 5 3 2" xfId="1265"/>
    <cellStyle name="Normal 15 5 4" xfId="1266"/>
    <cellStyle name="Normal 15 5 4 2" xfId="1267"/>
    <cellStyle name="Normal 15 5 5" xfId="1268"/>
    <cellStyle name="Normal 15 5 5 2" xfId="3883"/>
    <cellStyle name="Normal 15 5 6" xfId="1269"/>
    <cellStyle name="Normal 15 6" xfId="1270"/>
    <cellStyle name="Normal 15 6 2" xfId="1271"/>
    <cellStyle name="Normal 15 6 2 2" xfId="1272"/>
    <cellStyle name="Normal 15 6 2 3" xfId="3884"/>
    <cellStyle name="Normal 15 6 3" xfId="1273"/>
    <cellStyle name="Normal 15 6 3 2" xfId="1274"/>
    <cellStyle name="Normal 15 6 4" xfId="1275"/>
    <cellStyle name="Normal 15 6 4 2" xfId="1276"/>
    <cellStyle name="Normal 15 6 5" xfId="1277"/>
    <cellStyle name="Normal 15 6 5 2" xfId="3885"/>
    <cellStyle name="Normal 15 6 6" xfId="1278"/>
    <cellStyle name="Normal 15 7" xfId="1279"/>
    <cellStyle name="Normal 15 7 2" xfId="1280"/>
    <cellStyle name="Normal 15 7 2 2" xfId="1281"/>
    <cellStyle name="Normal 15 7 2 3" xfId="3886"/>
    <cellStyle name="Normal 15 7 3" xfId="1282"/>
    <cellStyle name="Normal 15 7 3 2" xfId="1283"/>
    <cellStyle name="Normal 15 7 4" xfId="1284"/>
    <cellStyle name="Normal 15 7 4 2" xfId="1285"/>
    <cellStyle name="Normal 15 7 5" xfId="1286"/>
    <cellStyle name="Normal 15 7 5 2" xfId="3887"/>
    <cellStyle name="Normal 15 7 6" xfId="1287"/>
    <cellStyle name="Normal 15 8" xfId="1288"/>
    <cellStyle name="Normal 15 8 2" xfId="1289"/>
    <cellStyle name="Normal 15 8 2 2" xfId="1290"/>
    <cellStyle name="Normal 15 8 2 3" xfId="3888"/>
    <cellStyle name="Normal 15 8 3" xfId="1291"/>
    <cellStyle name="Normal 15 8 3 2" xfId="1292"/>
    <cellStyle name="Normal 15 8 4" xfId="1293"/>
    <cellStyle name="Normal 15 8 4 2" xfId="1294"/>
    <cellStyle name="Normal 15 8 5" xfId="1295"/>
    <cellStyle name="Normal 15 8 5 2" xfId="3889"/>
    <cellStyle name="Normal 15 8 6" xfId="1296"/>
    <cellStyle name="Normal 15 9" xfId="1297"/>
    <cellStyle name="Normal 15 9 2" xfId="1298"/>
    <cellStyle name="Normal 15 9 2 2" xfId="1299"/>
    <cellStyle name="Normal 15 9 2 3" xfId="3890"/>
    <cellStyle name="Normal 15 9 3" xfId="1300"/>
    <cellStyle name="Normal 15 9 3 2" xfId="1301"/>
    <cellStyle name="Normal 15 9 4" xfId="1302"/>
    <cellStyle name="Normal 15 9 4 2" xfId="1303"/>
    <cellStyle name="Normal 15 9 5" xfId="1304"/>
    <cellStyle name="Normal 15 9 5 2" xfId="3891"/>
    <cellStyle name="Normal 15 9 6" xfId="1305"/>
    <cellStyle name="Normal 150" xfId="1306"/>
    <cellStyle name="Normal 150 2" xfId="1307"/>
    <cellStyle name="Normal 150 2 2" xfId="1308"/>
    <cellStyle name="Normal 151" xfId="1309"/>
    <cellStyle name="Normal 151 2" xfId="1310"/>
    <cellStyle name="Normal 151 2 2" xfId="1311"/>
    <cellStyle name="Normal 152" xfId="1312"/>
    <cellStyle name="Normal 152 2" xfId="1313"/>
    <cellStyle name="Normal 152 2 2" xfId="1314"/>
    <cellStyle name="Normal 153" xfId="1315"/>
    <cellStyle name="Normal 153 2" xfId="1316"/>
    <cellStyle name="Normal 153 2 2" xfId="1317"/>
    <cellStyle name="Normal 154" xfId="1318"/>
    <cellStyle name="Normal 154 2" xfId="1319"/>
    <cellStyle name="Normal 154 2 2" xfId="1320"/>
    <cellStyle name="Normal 155" xfId="1321"/>
    <cellStyle name="Normal 155 2" xfId="1322"/>
    <cellStyle name="Normal 155 2 2" xfId="1323"/>
    <cellStyle name="Normal 156" xfId="1324"/>
    <cellStyle name="Normal 157" xfId="1325"/>
    <cellStyle name="Normal 158" xfId="1326"/>
    <cellStyle name="Normal 159" xfId="1327"/>
    <cellStyle name="Normal 16 10" xfId="1328"/>
    <cellStyle name="Normal 16 10 2" xfId="1329"/>
    <cellStyle name="Normal 16 11" xfId="1330"/>
    <cellStyle name="Normal 16 11 2" xfId="3892"/>
    <cellStyle name="Normal 16 12" xfId="1331"/>
    <cellStyle name="Normal 16 2" xfId="1332"/>
    <cellStyle name="Normal 16 2 2" xfId="1333"/>
    <cellStyle name="Normal 16 2 2 2" xfId="1334"/>
    <cellStyle name="Normal 16 2 2 3" xfId="3893"/>
    <cellStyle name="Normal 16 2 3" xfId="1335"/>
    <cellStyle name="Normal 16 2 3 2" xfId="1336"/>
    <cellStyle name="Normal 16 2 4" xfId="1337"/>
    <cellStyle name="Normal 16 2 4 2" xfId="1338"/>
    <cellStyle name="Normal 16 2 5" xfId="1339"/>
    <cellStyle name="Normal 16 2 5 2" xfId="3894"/>
    <cellStyle name="Normal 16 2 6" xfId="1340"/>
    <cellStyle name="Normal 16 3" xfId="1341"/>
    <cellStyle name="Normal 16 3 2" xfId="1342"/>
    <cellStyle name="Normal 16 3 2 2" xfId="1343"/>
    <cellStyle name="Normal 16 3 2 3" xfId="3895"/>
    <cellStyle name="Normal 16 3 3" xfId="1344"/>
    <cellStyle name="Normal 16 3 3 2" xfId="1345"/>
    <cellStyle name="Normal 16 3 4" xfId="1346"/>
    <cellStyle name="Normal 16 3 4 2" xfId="1347"/>
    <cellStyle name="Normal 16 3 5" xfId="1348"/>
    <cellStyle name="Normal 16 3 5 2" xfId="3896"/>
    <cellStyle name="Normal 16 3 6" xfId="1349"/>
    <cellStyle name="Normal 16 4" xfId="1350"/>
    <cellStyle name="Normal 16 4 2" xfId="1351"/>
    <cellStyle name="Normal 16 4 2 2" xfId="1352"/>
    <cellStyle name="Normal 16 4 2 3" xfId="3897"/>
    <cellStyle name="Normal 16 4 3" xfId="1353"/>
    <cellStyle name="Normal 16 4 3 2" xfId="1354"/>
    <cellStyle name="Normal 16 4 4" xfId="1355"/>
    <cellStyle name="Normal 16 4 4 2" xfId="1356"/>
    <cellStyle name="Normal 16 4 5" xfId="1357"/>
    <cellStyle name="Normal 16 4 5 2" xfId="3898"/>
    <cellStyle name="Normal 16 4 6" xfId="1358"/>
    <cellStyle name="Normal 16 5" xfId="1359"/>
    <cellStyle name="Normal 16 5 2" xfId="1360"/>
    <cellStyle name="Normal 16 5 2 2" xfId="1361"/>
    <cellStyle name="Normal 16 5 2 3" xfId="3899"/>
    <cellStyle name="Normal 16 5 3" xfId="1362"/>
    <cellStyle name="Normal 16 5 3 2" xfId="1363"/>
    <cellStyle name="Normal 16 5 4" xfId="1364"/>
    <cellStyle name="Normal 16 5 4 2" xfId="1365"/>
    <cellStyle name="Normal 16 5 5" xfId="1366"/>
    <cellStyle name="Normal 16 5 5 2" xfId="3900"/>
    <cellStyle name="Normal 16 5 6" xfId="1367"/>
    <cellStyle name="Normal 16 6" xfId="1368"/>
    <cellStyle name="Normal 16 6 2" xfId="1369"/>
    <cellStyle name="Normal 16 6 2 2" xfId="1370"/>
    <cellStyle name="Normal 16 6 2 3" xfId="3901"/>
    <cellStyle name="Normal 16 6 3" xfId="1371"/>
    <cellStyle name="Normal 16 6 3 2" xfId="1372"/>
    <cellStyle name="Normal 16 6 4" xfId="1373"/>
    <cellStyle name="Normal 16 6 4 2" xfId="1374"/>
    <cellStyle name="Normal 16 6 5" xfId="1375"/>
    <cellStyle name="Normal 16 6 5 2" xfId="3902"/>
    <cellStyle name="Normal 16 6 6" xfId="1376"/>
    <cellStyle name="Normal 16 7" xfId="1377"/>
    <cellStyle name="Normal 16 7 2" xfId="1378"/>
    <cellStyle name="Normal 16 7 2 2" xfId="1379"/>
    <cellStyle name="Normal 16 7 2 3" xfId="3903"/>
    <cellStyle name="Normal 16 7 3" xfId="1380"/>
    <cellStyle name="Normal 16 7 3 2" xfId="1381"/>
    <cellStyle name="Normal 16 7 4" xfId="1382"/>
    <cellStyle name="Normal 16 7 4 2" xfId="1383"/>
    <cellStyle name="Normal 16 7 5" xfId="1384"/>
    <cellStyle name="Normal 16 7 5 2" xfId="3904"/>
    <cellStyle name="Normal 16 7 6" xfId="1385"/>
    <cellStyle name="Normal 16 8" xfId="1386"/>
    <cellStyle name="Normal 16 8 2" xfId="1387"/>
    <cellStyle name="Normal 16 8 2 2" xfId="1388"/>
    <cellStyle name="Normal 16 8 2 3" xfId="3905"/>
    <cellStyle name="Normal 16 8 3" xfId="1389"/>
    <cellStyle name="Normal 16 8 3 2" xfId="1390"/>
    <cellStyle name="Normal 16 8 4" xfId="1391"/>
    <cellStyle name="Normal 16 8 4 2" xfId="1392"/>
    <cellStyle name="Normal 16 8 5" xfId="1393"/>
    <cellStyle name="Normal 16 8 5 2" xfId="3906"/>
    <cellStyle name="Normal 16 8 6" xfId="1394"/>
    <cellStyle name="Normal 16 9" xfId="1395"/>
    <cellStyle name="Normal 16 9 2" xfId="1396"/>
    <cellStyle name="Normal 16 9 3" xfId="3907"/>
    <cellStyle name="Normal 160" xfId="1397"/>
    <cellStyle name="Normal 161" xfId="1398"/>
    <cellStyle name="Normal 162" xfId="1399"/>
    <cellStyle name="Normal 163" xfId="1400"/>
    <cellStyle name="Normal 164" xfId="1401"/>
    <cellStyle name="Normal 165" xfId="1402"/>
    <cellStyle name="Normal 166" xfId="1403"/>
    <cellStyle name="Normal 167" xfId="1404"/>
    <cellStyle name="Normal 168" xfId="1405"/>
    <cellStyle name="Normal 169" xfId="1406"/>
    <cellStyle name="Normal 17 10" xfId="1407"/>
    <cellStyle name="Normal 17 10 2" xfId="3908"/>
    <cellStyle name="Normal 17 11" xfId="1408"/>
    <cellStyle name="Normal 17 2" xfId="1409"/>
    <cellStyle name="Normal 17 2 2" xfId="1410"/>
    <cellStyle name="Normal 17 2 2 2" xfId="1411"/>
    <cellStyle name="Normal 17 2 2 3" xfId="3909"/>
    <cellStyle name="Normal 17 2 3" xfId="1412"/>
    <cellStyle name="Normal 17 2 3 2" xfId="1413"/>
    <cellStyle name="Normal 17 2 4" xfId="1414"/>
    <cellStyle name="Normal 17 2 4 2" xfId="1415"/>
    <cellStyle name="Normal 17 2 5" xfId="1416"/>
    <cellStyle name="Normal 17 2 5 2" xfId="3910"/>
    <cellStyle name="Normal 17 2 6" xfId="1417"/>
    <cellStyle name="Normal 17 3" xfId="1418"/>
    <cellStyle name="Normal 17 3 2" xfId="1419"/>
    <cellStyle name="Normal 17 3 2 2" xfId="1420"/>
    <cellStyle name="Normal 17 3 2 3" xfId="3911"/>
    <cellStyle name="Normal 17 3 3" xfId="1421"/>
    <cellStyle name="Normal 17 3 3 2" xfId="1422"/>
    <cellStyle name="Normal 17 3 4" xfId="1423"/>
    <cellStyle name="Normal 17 3 4 2" xfId="1424"/>
    <cellStyle name="Normal 17 3 5" xfId="1425"/>
    <cellStyle name="Normal 17 3 5 2" xfId="3912"/>
    <cellStyle name="Normal 17 3 6" xfId="1426"/>
    <cellStyle name="Normal 17 4" xfId="1427"/>
    <cellStyle name="Normal 17 4 2" xfId="1428"/>
    <cellStyle name="Normal 17 4 2 2" xfId="1429"/>
    <cellStyle name="Normal 17 4 2 3" xfId="3913"/>
    <cellStyle name="Normal 17 4 3" xfId="1430"/>
    <cellStyle name="Normal 17 4 3 2" xfId="1431"/>
    <cellStyle name="Normal 17 4 4" xfId="1432"/>
    <cellStyle name="Normal 17 4 4 2" xfId="1433"/>
    <cellStyle name="Normal 17 4 5" xfId="1434"/>
    <cellStyle name="Normal 17 4 5 2" xfId="3914"/>
    <cellStyle name="Normal 17 4 6" xfId="1435"/>
    <cellStyle name="Normal 17 5" xfId="1436"/>
    <cellStyle name="Normal 17 5 2" xfId="1437"/>
    <cellStyle name="Normal 17 5 2 2" xfId="1438"/>
    <cellStyle name="Normal 17 5 2 3" xfId="3915"/>
    <cellStyle name="Normal 17 5 3" xfId="1439"/>
    <cellStyle name="Normal 17 5 3 2" xfId="1440"/>
    <cellStyle name="Normal 17 5 4" xfId="1441"/>
    <cellStyle name="Normal 17 5 4 2" xfId="1442"/>
    <cellStyle name="Normal 17 5 5" xfId="1443"/>
    <cellStyle name="Normal 17 5 5 2" xfId="3916"/>
    <cellStyle name="Normal 17 5 6" xfId="1444"/>
    <cellStyle name="Normal 17 6" xfId="1445"/>
    <cellStyle name="Normal 17 6 2" xfId="1446"/>
    <cellStyle name="Normal 17 6 2 2" xfId="1447"/>
    <cellStyle name="Normal 17 6 2 3" xfId="3917"/>
    <cellStyle name="Normal 17 6 3" xfId="1448"/>
    <cellStyle name="Normal 17 6 3 2" xfId="1449"/>
    <cellStyle name="Normal 17 6 4" xfId="1450"/>
    <cellStyle name="Normal 17 6 4 2" xfId="1451"/>
    <cellStyle name="Normal 17 6 5" xfId="1452"/>
    <cellStyle name="Normal 17 6 5 2" xfId="3918"/>
    <cellStyle name="Normal 17 6 6" xfId="1453"/>
    <cellStyle name="Normal 17 7" xfId="1454"/>
    <cellStyle name="Normal 17 7 2" xfId="1455"/>
    <cellStyle name="Normal 17 7 2 2" xfId="1456"/>
    <cellStyle name="Normal 17 7 2 3" xfId="3919"/>
    <cellStyle name="Normal 17 7 3" xfId="1457"/>
    <cellStyle name="Normal 17 7 3 2" xfId="1458"/>
    <cellStyle name="Normal 17 7 4" xfId="1459"/>
    <cellStyle name="Normal 17 7 4 2" xfId="1460"/>
    <cellStyle name="Normal 17 7 5" xfId="1461"/>
    <cellStyle name="Normal 17 7 5 2" xfId="3920"/>
    <cellStyle name="Normal 17 7 6" xfId="1462"/>
    <cellStyle name="Normal 17 8" xfId="1463"/>
    <cellStyle name="Normal 17 8 2" xfId="1464"/>
    <cellStyle name="Normal 17 8 3" xfId="3921"/>
    <cellStyle name="Normal 17 9" xfId="1465"/>
    <cellStyle name="Normal 17 9 2" xfId="1466"/>
    <cellStyle name="Normal 170" xfId="1467"/>
    <cellStyle name="Normal 171" xfId="30"/>
    <cellStyle name="Normal 172" xfId="1468"/>
    <cellStyle name="Normal 173" xfId="1469"/>
    <cellStyle name="Normal 174" xfId="1470"/>
    <cellStyle name="Normal 175" xfId="1471"/>
    <cellStyle name="Normal 176" xfId="1472"/>
    <cellStyle name="Normal 177" xfId="31"/>
    <cellStyle name="Normal 178" xfId="1473"/>
    <cellStyle name="Normal 179" xfId="1474"/>
    <cellStyle name="Normal 18 10" xfId="1475"/>
    <cellStyle name="Normal 18 2" xfId="1476"/>
    <cellStyle name="Normal 18 2 2" xfId="1477"/>
    <cellStyle name="Normal 18 2 2 2" xfId="1478"/>
    <cellStyle name="Normal 18 2 2 3" xfId="3922"/>
    <cellStyle name="Normal 18 2 3" xfId="1479"/>
    <cellStyle name="Normal 18 2 3 2" xfId="1480"/>
    <cellStyle name="Normal 18 2 4" xfId="1481"/>
    <cellStyle name="Normal 18 2 4 2" xfId="1482"/>
    <cellStyle name="Normal 18 2 5" xfId="1483"/>
    <cellStyle name="Normal 18 2 5 2" xfId="3923"/>
    <cellStyle name="Normal 18 2 6" xfId="1484"/>
    <cellStyle name="Normal 18 3" xfId="1485"/>
    <cellStyle name="Normal 18 3 2" xfId="1486"/>
    <cellStyle name="Normal 18 3 2 2" xfId="1487"/>
    <cellStyle name="Normal 18 3 2 3" xfId="3924"/>
    <cellStyle name="Normal 18 3 3" xfId="1488"/>
    <cellStyle name="Normal 18 3 3 2" xfId="1489"/>
    <cellStyle name="Normal 18 3 4" xfId="1490"/>
    <cellStyle name="Normal 18 3 4 2" xfId="1491"/>
    <cellStyle name="Normal 18 3 5" xfId="1492"/>
    <cellStyle name="Normal 18 3 5 2" xfId="3925"/>
    <cellStyle name="Normal 18 3 6" xfId="1493"/>
    <cellStyle name="Normal 18 4" xfId="1494"/>
    <cellStyle name="Normal 18 4 2" xfId="1495"/>
    <cellStyle name="Normal 18 4 2 2" xfId="1496"/>
    <cellStyle name="Normal 18 4 2 3" xfId="3926"/>
    <cellStyle name="Normal 18 4 3" xfId="1497"/>
    <cellStyle name="Normal 18 4 3 2" xfId="1498"/>
    <cellStyle name="Normal 18 4 4" xfId="1499"/>
    <cellStyle name="Normal 18 4 4 2" xfId="1500"/>
    <cellStyle name="Normal 18 4 5" xfId="1501"/>
    <cellStyle name="Normal 18 4 5 2" xfId="3927"/>
    <cellStyle name="Normal 18 4 6" xfId="1502"/>
    <cellStyle name="Normal 18 5" xfId="1503"/>
    <cellStyle name="Normal 18 5 2" xfId="1504"/>
    <cellStyle name="Normal 18 5 2 2" xfId="1505"/>
    <cellStyle name="Normal 18 5 2 3" xfId="3928"/>
    <cellStyle name="Normal 18 5 3" xfId="1506"/>
    <cellStyle name="Normal 18 5 3 2" xfId="1507"/>
    <cellStyle name="Normal 18 5 4" xfId="1508"/>
    <cellStyle name="Normal 18 5 4 2" xfId="1509"/>
    <cellStyle name="Normal 18 5 5" xfId="1510"/>
    <cellStyle name="Normal 18 5 5 2" xfId="3929"/>
    <cellStyle name="Normal 18 5 6" xfId="1511"/>
    <cellStyle name="Normal 18 6" xfId="1512"/>
    <cellStyle name="Normal 18 6 2" xfId="1513"/>
    <cellStyle name="Normal 18 6 2 2" xfId="1514"/>
    <cellStyle name="Normal 18 6 2 3" xfId="3930"/>
    <cellStyle name="Normal 18 6 3" xfId="1515"/>
    <cellStyle name="Normal 18 6 3 2" xfId="1516"/>
    <cellStyle name="Normal 18 6 4" xfId="1517"/>
    <cellStyle name="Normal 18 6 4 2" xfId="1518"/>
    <cellStyle name="Normal 18 6 5" xfId="1519"/>
    <cellStyle name="Normal 18 6 5 2" xfId="3931"/>
    <cellStyle name="Normal 18 6 6" xfId="1520"/>
    <cellStyle name="Normal 18 7" xfId="1521"/>
    <cellStyle name="Normal 18 7 2" xfId="1522"/>
    <cellStyle name="Normal 18 7 3" xfId="3932"/>
    <cellStyle name="Normal 18 8" xfId="1523"/>
    <cellStyle name="Normal 18 8 2" xfId="1524"/>
    <cellStyle name="Normal 18 9" xfId="1525"/>
    <cellStyle name="Normal 18 9 2" xfId="3933"/>
    <cellStyle name="Normal 180" xfId="1526"/>
    <cellStyle name="Normal 181" xfId="1527"/>
    <cellStyle name="Normal 182" xfId="1528"/>
    <cellStyle name="Normal 183" xfId="1529"/>
    <cellStyle name="Normal 184" xfId="1530"/>
    <cellStyle name="Normal 185" xfId="1531"/>
    <cellStyle name="Normal 186" xfId="1532"/>
    <cellStyle name="Normal 187" xfId="1533"/>
    <cellStyle name="Normal 188" xfId="1534"/>
    <cellStyle name="Normal 189" xfId="1535"/>
    <cellStyle name="Normal 19 2" xfId="1536"/>
    <cellStyle name="Normal 19 2 2" xfId="1537"/>
    <cellStyle name="Normal 19 2 2 2" xfId="1538"/>
    <cellStyle name="Normal 19 2 2 3" xfId="3934"/>
    <cellStyle name="Normal 19 2 3" xfId="1539"/>
    <cellStyle name="Normal 19 2 3 2" xfId="1540"/>
    <cellStyle name="Normal 19 2 4" xfId="1541"/>
    <cellStyle name="Normal 19 2 4 2" xfId="1542"/>
    <cellStyle name="Normal 19 2 5" xfId="1543"/>
    <cellStyle name="Normal 19 2 5 2" xfId="3935"/>
    <cellStyle name="Normal 19 2 6" xfId="1544"/>
    <cellStyle name="Normal 19 3" xfId="1545"/>
    <cellStyle name="Normal 19 3 2" xfId="1546"/>
    <cellStyle name="Normal 19 3 2 2" xfId="1547"/>
    <cellStyle name="Normal 19 3 2 3" xfId="3936"/>
    <cellStyle name="Normal 19 3 3" xfId="1548"/>
    <cellStyle name="Normal 19 3 3 2" xfId="1549"/>
    <cellStyle name="Normal 19 3 4" xfId="1550"/>
    <cellStyle name="Normal 19 3 4 2" xfId="1551"/>
    <cellStyle name="Normal 19 3 5" xfId="1552"/>
    <cellStyle name="Normal 19 3 5 2" xfId="3937"/>
    <cellStyle name="Normal 19 3 6" xfId="1553"/>
    <cellStyle name="Normal 19 4" xfId="1554"/>
    <cellStyle name="Normal 19 4 2" xfId="1555"/>
    <cellStyle name="Normal 19 4 2 2" xfId="1556"/>
    <cellStyle name="Normal 19 4 2 3" xfId="3938"/>
    <cellStyle name="Normal 19 4 3" xfId="1557"/>
    <cellStyle name="Normal 19 4 3 2" xfId="1558"/>
    <cellStyle name="Normal 19 4 4" xfId="1559"/>
    <cellStyle name="Normal 19 4 4 2" xfId="1560"/>
    <cellStyle name="Normal 19 4 5" xfId="1561"/>
    <cellStyle name="Normal 19 4 5 2" xfId="3939"/>
    <cellStyle name="Normal 19 4 6" xfId="1562"/>
    <cellStyle name="Normal 19 5" xfId="1563"/>
    <cellStyle name="Normal 19 5 2" xfId="1564"/>
    <cellStyle name="Normal 19 5 2 2" xfId="1565"/>
    <cellStyle name="Normal 19 5 2 3" xfId="3940"/>
    <cellStyle name="Normal 19 5 3" xfId="1566"/>
    <cellStyle name="Normal 19 5 3 2" xfId="1567"/>
    <cellStyle name="Normal 19 5 4" xfId="1568"/>
    <cellStyle name="Normal 19 5 4 2" xfId="1569"/>
    <cellStyle name="Normal 19 5 5" xfId="1570"/>
    <cellStyle name="Normal 19 5 5 2" xfId="3941"/>
    <cellStyle name="Normal 19 5 6" xfId="1571"/>
    <cellStyle name="Normal 19 6" xfId="1572"/>
    <cellStyle name="Normal 19 6 2" xfId="1573"/>
    <cellStyle name="Normal 19 6 3" xfId="3942"/>
    <cellStyle name="Normal 19 7" xfId="1574"/>
    <cellStyle name="Normal 19 7 2" xfId="1575"/>
    <cellStyle name="Normal 19 8" xfId="1576"/>
    <cellStyle name="Normal 19 8 2" xfId="3943"/>
    <cellStyle name="Normal 19 9" xfId="1577"/>
    <cellStyle name="Normal 190" xfId="1578"/>
    <cellStyle name="Normal 191" xfId="1579"/>
    <cellStyle name="Normal 192" xfId="1580"/>
    <cellStyle name="Normal 193" xfId="1581"/>
    <cellStyle name="Normal 194" xfId="1582"/>
    <cellStyle name="Normal 195" xfId="1583"/>
    <cellStyle name="Normal 196" xfId="1584"/>
    <cellStyle name="Normal 197" xfId="1585"/>
    <cellStyle name="Normal 198" xfId="1586"/>
    <cellStyle name="Normal 199" xfId="1587"/>
    <cellStyle name="Normal 2" xfId="2"/>
    <cellStyle name="Normal 2 10" xfId="1588"/>
    <cellStyle name="Normal 2 10 2" xfId="1589"/>
    <cellStyle name="Normal 2 10 2 2" xfId="1590"/>
    <cellStyle name="Normal 2 10 3" xfId="1591"/>
    <cellStyle name="Normal 2 10 4" xfId="3944"/>
    <cellStyle name="Normal 2 11" xfId="1592"/>
    <cellStyle name="Normal 2 11 2" xfId="1593"/>
    <cellStyle name="Normal 2 11 2 2" xfId="1594"/>
    <cellStyle name="Normal 2 11 3" xfId="1595"/>
    <cellStyle name="Normal 2 11 4" xfId="3945"/>
    <cellStyle name="Normal 2 12" xfId="1596"/>
    <cellStyle name="Normal 2 12 2" xfId="1597"/>
    <cellStyle name="Normal 2 12 2 2" xfId="1598"/>
    <cellStyle name="Normal 2 12 3" xfId="1599"/>
    <cellStyle name="Normal 2 12 4" xfId="3946"/>
    <cellStyle name="Normal 2 13" xfId="1600"/>
    <cellStyle name="Normal 2 13 2" xfId="1601"/>
    <cellStyle name="Normal 2 13 2 2" xfId="1602"/>
    <cellStyle name="Normal 2 13 3" xfId="1603"/>
    <cellStyle name="Normal 2 13 4" xfId="3947"/>
    <cellStyle name="Normal 2 14" xfId="1604"/>
    <cellStyle name="Normal 2 14 2" xfId="1605"/>
    <cellStyle name="Normal 2 14 2 2" xfId="1606"/>
    <cellStyle name="Normal 2 14 3" xfId="1607"/>
    <cellStyle name="Normal 2 14 4" xfId="3948"/>
    <cellStyle name="Normal 2 15" xfId="1608"/>
    <cellStyle name="Normal 2 15 2" xfId="1609"/>
    <cellStyle name="Normal 2 15 2 2" xfId="1610"/>
    <cellStyle name="Normal 2 15 3" xfId="1611"/>
    <cellStyle name="Normal 2 15 4" xfId="3949"/>
    <cellStyle name="Normal 2 16" xfId="1612"/>
    <cellStyle name="Normal 2 16 2" xfId="1613"/>
    <cellStyle name="Normal 2 16 2 2" xfId="1614"/>
    <cellStyle name="Normal 2 16 3" xfId="1615"/>
    <cellStyle name="Normal 2 16 4" xfId="3950"/>
    <cellStyle name="Normal 2 17" xfId="1616"/>
    <cellStyle name="Normal 2 17 2" xfId="1617"/>
    <cellStyle name="Normal 2 17 2 2" xfId="1618"/>
    <cellStyle name="Normal 2 17 3" xfId="1619"/>
    <cellStyle name="Normal 2 17 4" xfId="3951"/>
    <cellStyle name="Normal 2 18" xfId="1620"/>
    <cellStyle name="Normal 2 18 2" xfId="1621"/>
    <cellStyle name="Normal 2 18 2 2" xfId="1622"/>
    <cellStyle name="Normal 2 18 3" xfId="1623"/>
    <cellStyle name="Normal 2 18 4" xfId="3952"/>
    <cellStyle name="Normal 2 19" xfId="1624"/>
    <cellStyle name="Normal 2 19 2" xfId="1625"/>
    <cellStyle name="Normal 2 19 2 2" xfId="1626"/>
    <cellStyle name="Normal 2 19 3" xfId="1627"/>
    <cellStyle name="Normal 2 19 4" xfId="3953"/>
    <cellStyle name="Normal 2 2" xfId="3"/>
    <cellStyle name="Normal 2 2 2" xfId="1629"/>
    <cellStyle name="Normal 2 2 2 2" xfId="1630"/>
    <cellStyle name="Normal 2 2 3" xfId="1631"/>
    <cellStyle name="Normal 2 2 4" xfId="1628"/>
    <cellStyle name="Normal 2 2 4 2" xfId="3954"/>
    <cellStyle name="Normal 2 20" xfId="1632"/>
    <cellStyle name="Normal 2 20 2" xfId="1633"/>
    <cellStyle name="Normal 2 20 2 2" xfId="1634"/>
    <cellStyle name="Normal 2 20 3" xfId="1635"/>
    <cellStyle name="Normal 2 20 4" xfId="3955"/>
    <cellStyle name="Normal 2 21" xfId="1636"/>
    <cellStyle name="Normal 2 21 2" xfId="1637"/>
    <cellStyle name="Normal 2 21 2 2" xfId="1638"/>
    <cellStyle name="Normal 2 21 3" xfId="1639"/>
    <cellStyle name="Normal 2 21 4" xfId="3956"/>
    <cellStyle name="Normal 2 22" xfId="1640"/>
    <cellStyle name="Normal 2 22 2" xfId="1641"/>
    <cellStyle name="Normal 2 23" xfId="1642"/>
    <cellStyle name="Normal 2 3" xfId="1643"/>
    <cellStyle name="Normal 2 3 2" xfId="1644"/>
    <cellStyle name="Normal 2 3 2 2" xfId="1645"/>
    <cellStyle name="Normal 2 3 3" xfId="1646"/>
    <cellStyle name="Normal 2 3 4" xfId="3957"/>
    <cellStyle name="Normal 2 4" xfId="1647"/>
    <cellStyle name="Normal 2 4 2" xfId="1648"/>
    <cellStyle name="Normal 2 4 2 2" xfId="1649"/>
    <cellStyle name="Normal 2 4 3" xfId="1650"/>
    <cellStyle name="Normal 2 4 4" xfId="3958"/>
    <cellStyle name="Normal 2 5" xfId="1651"/>
    <cellStyle name="Normal 2 5 2" xfId="1652"/>
    <cellStyle name="Normal 2 5 2 2" xfId="1653"/>
    <cellStyle name="Normal 2 5 3" xfId="1654"/>
    <cellStyle name="Normal 2 5 4" xfId="3959"/>
    <cellStyle name="Normal 2 6" xfId="1655"/>
    <cellStyle name="Normal 2 6 2" xfId="1656"/>
    <cellStyle name="Normal 2 6 2 2" xfId="1657"/>
    <cellStyle name="Normal 2 6 3" xfId="1658"/>
    <cellStyle name="Normal 2 6 4" xfId="3960"/>
    <cellStyle name="Normal 2 7" xfId="1659"/>
    <cellStyle name="Normal 2 7 2" xfId="1660"/>
    <cellStyle name="Normal 2 7 2 2" xfId="1661"/>
    <cellStyle name="Normal 2 7 3" xfId="1662"/>
    <cellStyle name="Normal 2 7 4" xfId="3961"/>
    <cellStyle name="Normal 2 8" xfId="1663"/>
    <cellStyle name="Normal 2 8 2" xfId="1664"/>
    <cellStyle name="Normal 2 8 2 2" xfId="1665"/>
    <cellStyle name="Normal 2 8 3" xfId="1666"/>
    <cellStyle name="Normal 2 8 4" xfId="3962"/>
    <cellStyle name="Normal 2 9" xfId="1667"/>
    <cellStyle name="Normal 2 9 2" xfId="1668"/>
    <cellStyle name="Normal 2 9 2 2" xfId="1669"/>
    <cellStyle name="Normal 2 9 3" xfId="1670"/>
    <cellStyle name="Normal 2 9 4" xfId="3963"/>
    <cellStyle name="Normal 20 2" xfId="1671"/>
    <cellStyle name="Normal 20 2 2" xfId="1672"/>
    <cellStyle name="Normal 20 2 2 2" xfId="1673"/>
    <cellStyle name="Normal 20 2 2 3" xfId="3964"/>
    <cellStyle name="Normal 20 2 3" xfId="1674"/>
    <cellStyle name="Normal 20 2 3 2" xfId="1675"/>
    <cellStyle name="Normal 20 2 4" xfId="1676"/>
    <cellStyle name="Normal 20 2 4 2" xfId="1677"/>
    <cellStyle name="Normal 20 2 5" xfId="1678"/>
    <cellStyle name="Normal 20 2 5 2" xfId="3965"/>
    <cellStyle name="Normal 20 2 6" xfId="1679"/>
    <cellStyle name="Normal 20 3" xfId="1680"/>
    <cellStyle name="Normal 20 3 2" xfId="1681"/>
    <cellStyle name="Normal 20 3 2 2" xfId="1682"/>
    <cellStyle name="Normal 20 3 2 3" xfId="3966"/>
    <cellStyle name="Normal 20 3 3" xfId="1683"/>
    <cellStyle name="Normal 20 3 3 2" xfId="1684"/>
    <cellStyle name="Normal 20 3 4" xfId="1685"/>
    <cellStyle name="Normal 20 3 4 2" xfId="1686"/>
    <cellStyle name="Normal 20 3 5" xfId="1687"/>
    <cellStyle name="Normal 20 3 5 2" xfId="3967"/>
    <cellStyle name="Normal 20 3 6" xfId="1688"/>
    <cellStyle name="Normal 20 4" xfId="1689"/>
    <cellStyle name="Normal 20 4 2" xfId="1690"/>
    <cellStyle name="Normal 20 4 2 2" xfId="1691"/>
    <cellStyle name="Normal 20 4 2 3" xfId="3968"/>
    <cellStyle name="Normal 20 4 3" xfId="1692"/>
    <cellStyle name="Normal 20 4 3 2" xfId="1693"/>
    <cellStyle name="Normal 20 4 4" xfId="1694"/>
    <cellStyle name="Normal 20 4 4 2" xfId="1695"/>
    <cellStyle name="Normal 20 4 5" xfId="1696"/>
    <cellStyle name="Normal 20 4 5 2" xfId="3969"/>
    <cellStyle name="Normal 20 4 6" xfId="1697"/>
    <cellStyle name="Normal 20 5" xfId="1698"/>
    <cellStyle name="Normal 20 5 2" xfId="1699"/>
    <cellStyle name="Normal 20 5 3" xfId="3970"/>
    <cellStyle name="Normal 20 6" xfId="1700"/>
    <cellStyle name="Normal 20 6 2" xfId="1701"/>
    <cellStyle name="Normal 20 7" xfId="1702"/>
    <cellStyle name="Normal 20 7 2" xfId="3971"/>
    <cellStyle name="Normal 20 8" xfId="1703"/>
    <cellStyle name="Normal 200" xfId="1704"/>
    <cellStyle name="Normal 201" xfId="1705"/>
    <cellStyle name="Normal 202" xfId="1706"/>
    <cellStyle name="Normal 203" xfId="1707"/>
    <cellStyle name="Normal 204" xfId="1708"/>
    <cellStyle name="Normal 205" xfId="1709"/>
    <cellStyle name="Normal 206" xfId="1710"/>
    <cellStyle name="Normal 207" xfId="1711"/>
    <cellStyle name="Normal 208" xfId="1712"/>
    <cellStyle name="Normal 209" xfId="1713"/>
    <cellStyle name="Normal 21 2" xfId="1714"/>
    <cellStyle name="Normal 21 2 2" xfId="1715"/>
    <cellStyle name="Normal 21 2 3" xfId="3972"/>
    <cellStyle name="Normal 21 3" xfId="1716"/>
    <cellStyle name="Normal 21 3 2" xfId="1717"/>
    <cellStyle name="Normal 21 4" xfId="1718"/>
    <cellStyle name="Normal 21 4 2" xfId="3973"/>
    <cellStyle name="Normal 21 5" xfId="1719"/>
    <cellStyle name="Normal 210" xfId="1720"/>
    <cellStyle name="Normal 211" xfId="1721"/>
    <cellStyle name="Normal 212" xfId="1722"/>
    <cellStyle name="Normal 213" xfId="1723"/>
    <cellStyle name="Normal 214" xfId="1724"/>
    <cellStyle name="Normal 215" xfId="1725"/>
    <cellStyle name="Normal 216" xfId="1726"/>
    <cellStyle name="Normal 217" xfId="1727"/>
    <cellStyle name="Normal 218" xfId="1728"/>
    <cellStyle name="Normal 219" xfId="1729"/>
    <cellStyle name="Normal 22 2" xfId="1730"/>
    <cellStyle name="Normal 22 2 2" xfId="1731"/>
    <cellStyle name="Normal 22 2 2 2" xfId="1732"/>
    <cellStyle name="Normal 22 2 2 3" xfId="3974"/>
    <cellStyle name="Normal 22 2 3" xfId="1733"/>
    <cellStyle name="Normal 22 2 3 2" xfId="1734"/>
    <cellStyle name="Normal 22 2 4" xfId="1735"/>
    <cellStyle name="Normal 22 2 4 2" xfId="1736"/>
    <cellStyle name="Normal 22 2 5" xfId="1737"/>
    <cellStyle name="Normal 22 2 5 2" xfId="3975"/>
    <cellStyle name="Normal 22 2 6" xfId="1738"/>
    <cellStyle name="Normal 22 3" xfId="1739"/>
    <cellStyle name="Normal 22 3 2" xfId="1740"/>
    <cellStyle name="Normal 22 3 3" xfId="3976"/>
    <cellStyle name="Normal 22 4" xfId="1741"/>
    <cellStyle name="Normal 22 4 2" xfId="1742"/>
    <cellStyle name="Normal 22 5" xfId="1743"/>
    <cellStyle name="Normal 22 5 2" xfId="3977"/>
    <cellStyle name="Normal 22 6" xfId="1744"/>
    <cellStyle name="Normal 220" xfId="1745"/>
    <cellStyle name="Normal 221" xfId="1746"/>
    <cellStyle name="Normal 222" xfId="1747"/>
    <cellStyle name="Normal 223" xfId="1748"/>
    <cellStyle name="Normal 224" xfId="1749"/>
    <cellStyle name="Normal 225" xfId="1750"/>
    <cellStyle name="Normal 226" xfId="1751"/>
    <cellStyle name="Normal 227" xfId="1752"/>
    <cellStyle name="Normal 228" xfId="1753"/>
    <cellStyle name="Normal 229" xfId="1754"/>
    <cellStyle name="Normal 23 2" xfId="1755"/>
    <cellStyle name="Normal 23 2 2" xfId="1756"/>
    <cellStyle name="Normal 23 2 3" xfId="3978"/>
    <cellStyle name="Normal 23 3" xfId="1757"/>
    <cellStyle name="Normal 23 3 2" xfId="1758"/>
    <cellStyle name="Normal 23 4" xfId="1759"/>
    <cellStyle name="Normal 23 4 2" xfId="3979"/>
    <cellStyle name="Normal 23 5" xfId="1760"/>
    <cellStyle name="Normal 230" xfId="1761"/>
    <cellStyle name="Normal 231" xfId="1762"/>
    <cellStyle name="Normal 232" xfId="1763"/>
    <cellStyle name="Normal 233" xfId="1764"/>
    <cellStyle name="Normal 234" xfId="1765"/>
    <cellStyle name="Normal 235" xfId="1766"/>
    <cellStyle name="Normal 236" xfId="1767"/>
    <cellStyle name="Normal 237" xfId="15"/>
    <cellStyle name="Normal 238" xfId="1768"/>
    <cellStyle name="Normal 239" xfId="28"/>
    <cellStyle name="Normal 24 2" xfId="1769"/>
    <cellStyle name="Normal 24 2 2" xfId="1770"/>
    <cellStyle name="Normal 24 2 3" xfId="3980"/>
    <cellStyle name="Normal 24 3" xfId="1771"/>
    <cellStyle name="Normal 24 3 2" xfId="1772"/>
    <cellStyle name="Normal 24 4" xfId="1773"/>
    <cellStyle name="Normal 24 4 2" xfId="3981"/>
    <cellStyle name="Normal 24 5" xfId="1774"/>
    <cellStyle name="Normal 240" xfId="1775"/>
    <cellStyle name="Normal 241" xfId="23"/>
    <cellStyle name="Normal 242" xfId="1776"/>
    <cellStyle name="Normal 243" xfId="1777"/>
    <cellStyle name="Normal 244" xfId="1778"/>
    <cellStyle name="Normal 245" xfId="1779"/>
    <cellStyle name="Normal 246" xfId="1780"/>
    <cellStyle name="Normal 247" xfId="1781"/>
    <cellStyle name="Normal 248" xfId="1782"/>
    <cellStyle name="Normal 249" xfId="1783"/>
    <cellStyle name="Normal 25 2" xfId="1784"/>
    <cellStyle name="Normal 25 2 2" xfId="1785"/>
    <cellStyle name="Normal 25 2 3" xfId="3982"/>
    <cellStyle name="Normal 25 3" xfId="1786"/>
    <cellStyle name="Normal 25 3 2" xfId="1787"/>
    <cellStyle name="Normal 25 4" xfId="1788"/>
    <cellStyle name="Normal 25 4 2" xfId="3983"/>
    <cellStyle name="Normal 25 5" xfId="1789"/>
    <cellStyle name="Normal 250" xfId="1790"/>
    <cellStyle name="Normal 250 2" xfId="3984"/>
    <cellStyle name="Normal 251" xfId="1791"/>
    <cellStyle name="Normal 251 2" xfId="3985"/>
    <cellStyle name="Normal 252" xfId="1792"/>
    <cellStyle name="Normal 252 2" xfId="3986"/>
    <cellStyle name="Normal 253" xfId="1793"/>
    <cellStyle name="Normal 253 2" xfId="3987"/>
    <cellStyle name="Normal 254" xfId="1794"/>
    <cellStyle name="Normal 254 2" xfId="3988"/>
    <cellStyle name="Normal 255" xfId="1795"/>
    <cellStyle name="Normal 255 2" xfId="3989"/>
    <cellStyle name="Normal 256" xfId="1796"/>
    <cellStyle name="Normal 256 2" xfId="1797"/>
    <cellStyle name="Normal 256 3" xfId="3990"/>
    <cellStyle name="Normal 257" xfId="1798"/>
    <cellStyle name="Normal 257 2" xfId="1799"/>
    <cellStyle name="Normal 257 3" xfId="3991"/>
    <cellStyle name="Normal 258" xfId="1800"/>
    <cellStyle name="Normal 258 2" xfId="1801"/>
    <cellStyle name="Normal 258 3" xfId="3992"/>
    <cellStyle name="Normal 259" xfId="1802"/>
    <cellStyle name="Normal 259 2" xfId="1803"/>
    <cellStyle name="Normal 259 3" xfId="3993"/>
    <cellStyle name="Normal 26 2" xfId="1804"/>
    <cellStyle name="Normal 26 2 2" xfId="1805"/>
    <cellStyle name="Normal 26 2 2 2" xfId="1806"/>
    <cellStyle name="Normal 26 2 2 3" xfId="3994"/>
    <cellStyle name="Normal 26 2 3" xfId="1807"/>
    <cellStyle name="Normal 26 2 3 2" xfId="1808"/>
    <cellStyle name="Normal 26 2 4" xfId="1809"/>
    <cellStyle name="Normal 26 2 4 2" xfId="1810"/>
    <cellStyle name="Normal 26 2 5" xfId="1811"/>
    <cellStyle name="Normal 26 2 5 2" xfId="3995"/>
    <cellStyle name="Normal 26 2 6" xfId="1812"/>
    <cellStyle name="Normal 26 3" xfId="1813"/>
    <cellStyle name="Normal 26 3 2" xfId="1814"/>
    <cellStyle name="Normal 26 3 3" xfId="3996"/>
    <cellStyle name="Normal 26 4" xfId="1815"/>
    <cellStyle name="Normal 26 4 2" xfId="1816"/>
    <cellStyle name="Normal 26 5" xfId="1817"/>
    <cellStyle name="Normal 26 5 2" xfId="3997"/>
    <cellStyle name="Normal 26 6" xfId="1818"/>
    <cellStyle name="Normal 260" xfId="1819"/>
    <cellStyle name="Normal 260 2" xfId="1820"/>
    <cellStyle name="Normal 260 3" xfId="3998"/>
    <cellStyle name="Normal 261" xfId="1821"/>
    <cellStyle name="Normal 261 2" xfId="1822"/>
    <cellStyle name="Normal 261 3" xfId="3999"/>
    <cellStyle name="Normal 262" xfId="1823"/>
    <cellStyle name="Normal 262 2" xfId="1824"/>
    <cellStyle name="Normal 262 3" xfId="4000"/>
    <cellStyle name="Normal 263" xfId="1825"/>
    <cellStyle name="Normal 263 2" xfId="1826"/>
    <cellStyle name="Normal 263 3" xfId="4001"/>
    <cellStyle name="Normal 264" xfId="1827"/>
    <cellStyle name="Normal 264 2" xfId="1828"/>
    <cellStyle name="Normal 264 3" xfId="4002"/>
    <cellStyle name="Normal 265" xfId="1829"/>
    <cellStyle name="Normal 265 2" xfId="1830"/>
    <cellStyle name="Normal 265 3" xfId="4003"/>
    <cellStyle name="Normal 266" xfId="1831"/>
    <cellStyle name="Normal 266 2" xfId="1832"/>
    <cellStyle name="Normal 266 3" xfId="4004"/>
    <cellStyle name="Normal 267" xfId="1833"/>
    <cellStyle name="Normal 267 2" xfId="1834"/>
    <cellStyle name="Normal 267 3" xfId="4005"/>
    <cellStyle name="Normal 268" xfId="1835"/>
    <cellStyle name="Normal 268 2" xfId="1836"/>
    <cellStyle name="Normal 268 3" xfId="4006"/>
    <cellStyle name="Normal 269" xfId="1837"/>
    <cellStyle name="Normal 269 2" xfId="1838"/>
    <cellStyle name="Normal 269 3" xfId="4007"/>
    <cellStyle name="Normal 27 2" xfId="1839"/>
    <cellStyle name="Normal 27 2 2" xfId="1840"/>
    <cellStyle name="Normal 27 2 3" xfId="4008"/>
    <cellStyle name="Normal 27 3" xfId="1841"/>
    <cellStyle name="Normal 27 3 2" xfId="1842"/>
    <cellStyle name="Normal 27 4" xfId="1843"/>
    <cellStyle name="Normal 27 4 2" xfId="4009"/>
    <cellStyle name="Normal 27 5" xfId="1844"/>
    <cellStyle name="Normal 270" xfId="1845"/>
    <cellStyle name="Normal 270 2" xfId="1846"/>
    <cellStyle name="Normal 270 3" xfId="4010"/>
    <cellStyle name="Normal 271" xfId="1847"/>
    <cellStyle name="Normal 271 2" xfId="1848"/>
    <cellStyle name="Normal 271 3" xfId="4011"/>
    <cellStyle name="Normal 272" xfId="1849"/>
    <cellStyle name="Normal 272 2" xfId="1850"/>
    <cellStyle name="Normal 272 3" xfId="4012"/>
    <cellStyle name="Normal 273" xfId="1851"/>
    <cellStyle name="Normal 273 2" xfId="1852"/>
    <cellStyle name="Normal 273 3" xfId="4013"/>
    <cellStyle name="Normal 274" xfId="1853"/>
    <cellStyle name="Normal 274 2" xfId="1854"/>
    <cellStyle name="Normal 274 3" xfId="4014"/>
    <cellStyle name="Normal 275" xfId="1855"/>
    <cellStyle name="Normal 275 2" xfId="1856"/>
    <cellStyle name="Normal 275 3" xfId="4015"/>
    <cellStyle name="Normal 276" xfId="1857"/>
    <cellStyle name="Normal 276 2" xfId="1858"/>
    <cellStyle name="Normal 276 3" xfId="4016"/>
    <cellStyle name="Normal 277" xfId="1859"/>
    <cellStyle name="Normal 277 2" xfId="1860"/>
    <cellStyle name="Normal 277 3" xfId="4017"/>
    <cellStyle name="Normal 278" xfId="1861"/>
    <cellStyle name="Normal 278 2" xfId="1862"/>
    <cellStyle name="Normal 278 3" xfId="4018"/>
    <cellStyle name="Normal 279" xfId="1863"/>
    <cellStyle name="Normal 279 2" xfId="1864"/>
    <cellStyle name="Normal 279 3" xfId="4019"/>
    <cellStyle name="Normal 28 2" xfId="1865"/>
    <cellStyle name="Normal 28 2 2" xfId="1866"/>
    <cellStyle name="Normal 28 2 3" xfId="4020"/>
    <cellStyle name="Normal 28 3" xfId="1867"/>
    <cellStyle name="Normal 28 3 2" xfId="1868"/>
    <cellStyle name="Normal 28 4" xfId="1869"/>
    <cellStyle name="Normal 28 4 2" xfId="4021"/>
    <cellStyle name="Normal 28 5" xfId="1870"/>
    <cellStyle name="Normal 280" xfId="1871"/>
    <cellStyle name="Normal 280 2" xfId="1872"/>
    <cellStyle name="Normal 280 3" xfId="4022"/>
    <cellStyle name="Normal 281" xfId="1873"/>
    <cellStyle name="Normal 281 2" xfId="1874"/>
    <cellStyle name="Normal 281 3" xfId="4023"/>
    <cellStyle name="Normal 282" xfId="1875"/>
    <cellStyle name="Normal 282 2" xfId="1876"/>
    <cellStyle name="Normal 282 3" xfId="4024"/>
    <cellStyle name="Normal 283" xfId="1877"/>
    <cellStyle name="Normal 283 2" xfId="1878"/>
    <cellStyle name="Normal 283 3" xfId="4025"/>
    <cellStyle name="Normal 284" xfId="1879"/>
    <cellStyle name="Normal 284 2" xfId="1880"/>
    <cellStyle name="Normal 284 3" xfId="4026"/>
    <cellStyle name="Normal 285" xfId="1881"/>
    <cellStyle name="Normal 285 2" xfId="1882"/>
    <cellStyle name="Normal 285 3" xfId="4027"/>
    <cellStyle name="Normal 286" xfId="1883"/>
    <cellStyle name="Normal 286 2" xfId="1884"/>
    <cellStyle name="Normal 286 3" xfId="4028"/>
    <cellStyle name="Normal 287" xfId="1885"/>
    <cellStyle name="Normal 287 2" xfId="1886"/>
    <cellStyle name="Normal 287 3" xfId="4029"/>
    <cellStyle name="Normal 288" xfId="1887"/>
    <cellStyle name="Normal 288 2" xfId="1888"/>
    <cellStyle name="Normal 288 3" xfId="4030"/>
    <cellStyle name="Normal 289" xfId="1889"/>
    <cellStyle name="Normal 289 2" xfId="1890"/>
    <cellStyle name="Normal 289 3" xfId="4031"/>
    <cellStyle name="Normal 29 2" xfId="1891"/>
    <cellStyle name="Normal 29 2 2" xfId="1892"/>
    <cellStyle name="Normal 29 2 3" xfId="4032"/>
    <cellStyle name="Normal 29 3" xfId="1893"/>
    <cellStyle name="Normal 29 3 2" xfId="1894"/>
    <cellStyle name="Normal 29 4" xfId="1895"/>
    <cellStyle name="Normal 29 4 2" xfId="4033"/>
    <cellStyle name="Normal 29 5" xfId="1896"/>
    <cellStyle name="Normal 290" xfId="1897"/>
    <cellStyle name="Normal 290 2" xfId="1898"/>
    <cellStyle name="Normal 290 3" xfId="4034"/>
    <cellStyle name="Normal 291" xfId="1899"/>
    <cellStyle name="Normal 291 2" xfId="1900"/>
    <cellStyle name="Normal 291 3" xfId="4035"/>
    <cellStyle name="Normal 292" xfId="1901"/>
    <cellStyle name="Normal 292 2" xfId="1902"/>
    <cellStyle name="Normal 292 3" xfId="4036"/>
    <cellStyle name="Normal 293" xfId="1903"/>
    <cellStyle name="Normal 293 2" xfId="1904"/>
    <cellStyle name="Normal 293 3" xfId="4037"/>
    <cellStyle name="Normal 294" xfId="1905"/>
    <cellStyle name="Normal 294 2" xfId="1906"/>
    <cellStyle name="Normal 294 3" xfId="4038"/>
    <cellStyle name="Normal 295" xfId="1907"/>
    <cellStyle name="Normal 295 2" xfId="1908"/>
    <cellStyle name="Normal 295 3" xfId="4039"/>
    <cellStyle name="Normal 296" xfId="1909"/>
    <cellStyle name="Normal 296 2" xfId="1910"/>
    <cellStyle name="Normal 296 3" xfId="4040"/>
    <cellStyle name="Normal 297" xfId="1911"/>
    <cellStyle name="Normal 297 2" xfId="1912"/>
    <cellStyle name="Normal 297 3" xfId="4041"/>
    <cellStyle name="Normal 298" xfId="1913"/>
    <cellStyle name="Normal 298 2" xfId="1914"/>
    <cellStyle name="Normal 298 3" xfId="4042"/>
    <cellStyle name="Normal 299" xfId="1915"/>
    <cellStyle name="Normal 299 2" xfId="1916"/>
    <cellStyle name="Normal 299 3" xfId="4043"/>
    <cellStyle name="Normal 3" xfId="4"/>
    <cellStyle name="Normal 3 10" xfId="1917"/>
    <cellStyle name="Normal 3 10 2" xfId="1918"/>
    <cellStyle name="Normal 3 10 2 2" xfId="1919"/>
    <cellStyle name="Normal 3 10 2 3" xfId="4044"/>
    <cellStyle name="Normal 3 10 3" xfId="1920"/>
    <cellStyle name="Normal 3 10 3 2" xfId="1921"/>
    <cellStyle name="Normal 3 10 4" xfId="1922"/>
    <cellStyle name="Normal 3 10 4 2" xfId="1923"/>
    <cellStyle name="Normal 3 10 5" xfId="1924"/>
    <cellStyle name="Normal 3 10 5 2" xfId="4045"/>
    <cellStyle name="Normal 3 10 6" xfId="1925"/>
    <cellStyle name="Normal 3 11" xfId="1926"/>
    <cellStyle name="Normal 3 11 2" xfId="1927"/>
    <cellStyle name="Normal 3 11 2 2" xfId="1928"/>
    <cellStyle name="Normal 3 11 2 3" xfId="4046"/>
    <cellStyle name="Normal 3 11 3" xfId="1929"/>
    <cellStyle name="Normal 3 11 3 2" xfId="1930"/>
    <cellStyle name="Normal 3 11 4" xfId="1931"/>
    <cellStyle name="Normal 3 11 4 2" xfId="1932"/>
    <cellStyle name="Normal 3 11 5" xfId="1933"/>
    <cellStyle name="Normal 3 11 5 2" xfId="4047"/>
    <cellStyle name="Normal 3 11 6" xfId="1934"/>
    <cellStyle name="Normal 3 12" xfId="1935"/>
    <cellStyle name="Normal 3 12 2" xfId="1936"/>
    <cellStyle name="Normal 3 12 2 2" xfId="1937"/>
    <cellStyle name="Normal 3 12 2 3" xfId="4048"/>
    <cellStyle name="Normal 3 12 3" xfId="1938"/>
    <cellStyle name="Normal 3 12 3 2" xfId="1939"/>
    <cellStyle name="Normal 3 12 4" xfId="1940"/>
    <cellStyle name="Normal 3 12 4 2" xfId="1941"/>
    <cellStyle name="Normal 3 12 5" xfId="1942"/>
    <cellStyle name="Normal 3 12 5 2" xfId="4049"/>
    <cellStyle name="Normal 3 12 6" xfId="1943"/>
    <cellStyle name="Normal 3 13" xfId="1944"/>
    <cellStyle name="Normal 3 13 2" xfId="1945"/>
    <cellStyle name="Normal 3 13 2 2" xfId="1946"/>
    <cellStyle name="Normal 3 13 2 3" xfId="4050"/>
    <cellStyle name="Normal 3 13 3" xfId="1947"/>
    <cellStyle name="Normal 3 13 3 2" xfId="1948"/>
    <cellStyle name="Normal 3 13 4" xfId="1949"/>
    <cellStyle name="Normal 3 13 4 2" xfId="1950"/>
    <cellStyle name="Normal 3 13 5" xfId="1951"/>
    <cellStyle name="Normal 3 13 5 2" xfId="4051"/>
    <cellStyle name="Normal 3 13 6" xfId="1952"/>
    <cellStyle name="Normal 3 14" xfId="1953"/>
    <cellStyle name="Normal 3 14 2" xfId="1954"/>
    <cellStyle name="Normal 3 14 2 2" xfId="1955"/>
    <cellStyle name="Normal 3 14 2 3" xfId="4052"/>
    <cellStyle name="Normal 3 14 3" xfId="1956"/>
    <cellStyle name="Normal 3 14 3 2" xfId="1957"/>
    <cellStyle name="Normal 3 14 4" xfId="1958"/>
    <cellStyle name="Normal 3 14 4 2" xfId="1959"/>
    <cellStyle name="Normal 3 14 5" xfId="1960"/>
    <cellStyle name="Normal 3 14 5 2" xfId="4053"/>
    <cellStyle name="Normal 3 14 6" xfId="1961"/>
    <cellStyle name="Normal 3 15" xfId="1962"/>
    <cellStyle name="Normal 3 15 2" xfId="1963"/>
    <cellStyle name="Normal 3 15 2 2" xfId="1964"/>
    <cellStyle name="Normal 3 15 2 3" xfId="4054"/>
    <cellStyle name="Normal 3 15 3" xfId="1965"/>
    <cellStyle name="Normal 3 15 3 2" xfId="1966"/>
    <cellStyle name="Normal 3 15 4" xfId="1967"/>
    <cellStyle name="Normal 3 15 4 2" xfId="1968"/>
    <cellStyle name="Normal 3 15 5" xfId="1969"/>
    <cellStyle name="Normal 3 15 5 2" xfId="4055"/>
    <cellStyle name="Normal 3 15 6" xfId="1970"/>
    <cellStyle name="Normal 3 16" xfId="1971"/>
    <cellStyle name="Normal 3 16 2" xfId="1972"/>
    <cellStyle name="Normal 3 16 2 2" xfId="1973"/>
    <cellStyle name="Normal 3 16 2 3" xfId="4056"/>
    <cellStyle name="Normal 3 16 3" xfId="1974"/>
    <cellStyle name="Normal 3 16 3 2" xfId="1975"/>
    <cellStyle name="Normal 3 16 4" xfId="1976"/>
    <cellStyle name="Normal 3 16 4 2" xfId="1977"/>
    <cellStyle name="Normal 3 16 5" xfId="1978"/>
    <cellStyle name="Normal 3 16 5 2" xfId="4057"/>
    <cellStyle name="Normal 3 16 6" xfId="1979"/>
    <cellStyle name="Normal 3 17" xfId="1980"/>
    <cellStyle name="Normal 3 17 2" xfId="1981"/>
    <cellStyle name="Normal 3 17 2 2" xfId="1982"/>
    <cellStyle name="Normal 3 17 2 3" xfId="4058"/>
    <cellStyle name="Normal 3 17 3" xfId="1983"/>
    <cellStyle name="Normal 3 17 3 2" xfId="1984"/>
    <cellStyle name="Normal 3 17 4" xfId="1985"/>
    <cellStyle name="Normal 3 17 4 2" xfId="1986"/>
    <cellStyle name="Normal 3 17 5" xfId="1987"/>
    <cellStyle name="Normal 3 17 5 2" xfId="4059"/>
    <cellStyle name="Normal 3 17 6" xfId="1988"/>
    <cellStyle name="Normal 3 18" xfId="1989"/>
    <cellStyle name="Normal 3 18 2" xfId="1990"/>
    <cellStyle name="Normal 3 18 2 2" xfId="1991"/>
    <cellStyle name="Normal 3 18 2 3" xfId="4060"/>
    <cellStyle name="Normal 3 18 3" xfId="1992"/>
    <cellStyle name="Normal 3 18 3 2" xfId="1993"/>
    <cellStyle name="Normal 3 18 4" xfId="1994"/>
    <cellStyle name="Normal 3 18 4 2" xfId="1995"/>
    <cellStyle name="Normal 3 18 5" xfId="1996"/>
    <cellStyle name="Normal 3 18 5 2" xfId="4061"/>
    <cellStyle name="Normal 3 18 6" xfId="1997"/>
    <cellStyle name="Normal 3 19" xfId="1998"/>
    <cellStyle name="Normal 3 19 2" xfId="1999"/>
    <cellStyle name="Normal 3 19 2 2" xfId="2000"/>
    <cellStyle name="Normal 3 19 2 3" xfId="4062"/>
    <cellStyle name="Normal 3 19 3" xfId="2001"/>
    <cellStyle name="Normal 3 19 3 2" xfId="2002"/>
    <cellStyle name="Normal 3 19 4" xfId="2003"/>
    <cellStyle name="Normal 3 19 4 2" xfId="2004"/>
    <cellStyle name="Normal 3 19 5" xfId="2005"/>
    <cellStyle name="Normal 3 19 5 2" xfId="4063"/>
    <cellStyle name="Normal 3 19 6" xfId="2006"/>
    <cellStyle name="Normal 3 2" xfId="5"/>
    <cellStyle name="Normal 3 2 2" xfId="2008"/>
    <cellStyle name="Normal 3 2 2 2" xfId="2009"/>
    <cellStyle name="Normal 3 2 2 3" xfId="4064"/>
    <cellStyle name="Normal 3 2 3" xfId="2010"/>
    <cellStyle name="Normal 3 2 3 2" xfId="2011"/>
    <cellStyle name="Normal 3 2 4" xfId="2012"/>
    <cellStyle name="Normal 3 2 4 2" xfId="2013"/>
    <cellStyle name="Normal 3 2 5" xfId="2014"/>
    <cellStyle name="Normal 3 2 5 2" xfId="4065"/>
    <cellStyle name="Normal 3 2 6" xfId="2015"/>
    <cellStyle name="Normal 3 2 7" xfId="2007"/>
    <cellStyle name="Normal 3 2 8" xfId="3595"/>
    <cellStyle name="Normal 3 20" xfId="2016"/>
    <cellStyle name="Normal 3 20 2" xfId="2017"/>
    <cellStyle name="Normal 3 20 2 2" xfId="2018"/>
    <cellStyle name="Normal 3 20 2 3" xfId="4066"/>
    <cellStyle name="Normal 3 20 3" xfId="2019"/>
    <cellStyle name="Normal 3 20 3 2" xfId="2020"/>
    <cellStyle name="Normal 3 20 4" xfId="2021"/>
    <cellStyle name="Normal 3 20 4 2" xfId="2022"/>
    <cellStyle name="Normal 3 20 5" xfId="2023"/>
    <cellStyle name="Normal 3 20 5 2" xfId="4067"/>
    <cellStyle name="Normal 3 20 6" xfId="2024"/>
    <cellStyle name="Normal 3 21" xfId="2025"/>
    <cellStyle name="Normal 3 21 2" xfId="2026"/>
    <cellStyle name="Normal 3 21 2 2" xfId="2027"/>
    <cellStyle name="Normal 3 21 2 3" xfId="4068"/>
    <cellStyle name="Normal 3 21 3" xfId="2028"/>
    <cellStyle name="Normal 3 21 3 2" xfId="2029"/>
    <cellStyle name="Normal 3 21 4" xfId="2030"/>
    <cellStyle name="Normal 3 21 4 2" xfId="2031"/>
    <cellStyle name="Normal 3 21 5" xfId="2032"/>
    <cellStyle name="Normal 3 21 5 2" xfId="4069"/>
    <cellStyle name="Normal 3 21 6" xfId="2033"/>
    <cellStyle name="Normal 3 22" xfId="2034"/>
    <cellStyle name="Normal 3 22 2" xfId="2035"/>
    <cellStyle name="Normal 3 22 2 2" xfId="2036"/>
    <cellStyle name="Normal 3 22 2 3" xfId="4070"/>
    <cellStyle name="Normal 3 22 3" xfId="2037"/>
    <cellStyle name="Normal 3 22 3 2" xfId="2038"/>
    <cellStyle name="Normal 3 22 4" xfId="2039"/>
    <cellStyle name="Normal 3 22 4 2" xfId="2040"/>
    <cellStyle name="Normal 3 22 5" xfId="2041"/>
    <cellStyle name="Normal 3 22 5 2" xfId="4071"/>
    <cellStyle name="Normal 3 22 6" xfId="2042"/>
    <cellStyle name="Normal 3 23" xfId="2043"/>
    <cellStyle name="Normal 3 23 2" xfId="2044"/>
    <cellStyle name="Normal 3 23 2 2" xfId="2045"/>
    <cellStyle name="Normal 3 23 2 3" xfId="4072"/>
    <cellStyle name="Normal 3 23 3" xfId="2046"/>
    <cellStyle name="Normal 3 23 3 2" xfId="2047"/>
    <cellStyle name="Normal 3 23 4" xfId="2048"/>
    <cellStyle name="Normal 3 23 4 2" xfId="2049"/>
    <cellStyle name="Normal 3 23 5" xfId="2050"/>
    <cellStyle name="Normal 3 23 5 2" xfId="4073"/>
    <cellStyle name="Normal 3 23 6" xfId="2051"/>
    <cellStyle name="Normal 3 24" xfId="2052"/>
    <cellStyle name="Normal 3 24 2" xfId="2053"/>
    <cellStyle name="Normal 3 24 2 2" xfId="2054"/>
    <cellStyle name="Normal 3 24 2 3" xfId="4074"/>
    <cellStyle name="Normal 3 24 3" xfId="2055"/>
    <cellStyle name="Normal 3 24 3 2" xfId="2056"/>
    <cellStyle name="Normal 3 24 4" xfId="2057"/>
    <cellStyle name="Normal 3 24 4 2" xfId="2058"/>
    <cellStyle name="Normal 3 24 5" xfId="2059"/>
    <cellStyle name="Normal 3 24 5 2" xfId="4075"/>
    <cellStyle name="Normal 3 24 6" xfId="2060"/>
    <cellStyle name="Normal 3 25" xfId="2061"/>
    <cellStyle name="Normal 3 25 2" xfId="2062"/>
    <cellStyle name="Normal 3 25 2 2" xfId="2063"/>
    <cellStyle name="Normal 3 25 2 3" xfId="4076"/>
    <cellStyle name="Normal 3 25 3" xfId="2064"/>
    <cellStyle name="Normal 3 25 3 2" xfId="2065"/>
    <cellStyle name="Normal 3 25 4" xfId="2066"/>
    <cellStyle name="Normal 3 25 4 2" xfId="2067"/>
    <cellStyle name="Normal 3 25 5" xfId="2068"/>
    <cellStyle name="Normal 3 25 5 2" xfId="4077"/>
    <cellStyle name="Normal 3 25 6" xfId="2069"/>
    <cellStyle name="Normal 3 26" xfId="2070"/>
    <cellStyle name="Normal 3 26 2" xfId="2071"/>
    <cellStyle name="Normal 3 26 2 2" xfId="2072"/>
    <cellStyle name="Normal 3 26 2 3" xfId="4078"/>
    <cellStyle name="Normal 3 26 3" xfId="2073"/>
    <cellStyle name="Normal 3 26 3 2" xfId="2074"/>
    <cellStyle name="Normal 3 26 4" xfId="2075"/>
    <cellStyle name="Normal 3 26 4 2" xfId="2076"/>
    <cellStyle name="Normal 3 26 5" xfId="2077"/>
    <cellStyle name="Normal 3 26 5 2" xfId="4079"/>
    <cellStyle name="Normal 3 26 6" xfId="2078"/>
    <cellStyle name="Normal 3 27" xfId="2079"/>
    <cellStyle name="Normal 3 27 2" xfId="2080"/>
    <cellStyle name="Normal 3 27 2 2" xfId="2081"/>
    <cellStyle name="Normal 3 27 2 3" xfId="4080"/>
    <cellStyle name="Normal 3 27 3" xfId="2082"/>
    <cellStyle name="Normal 3 27 3 2" xfId="2083"/>
    <cellStyle name="Normal 3 27 4" xfId="2084"/>
    <cellStyle name="Normal 3 27 4 2" xfId="2085"/>
    <cellStyle name="Normal 3 27 5" xfId="2086"/>
    <cellStyle name="Normal 3 27 5 2" xfId="4081"/>
    <cellStyle name="Normal 3 27 6" xfId="2087"/>
    <cellStyle name="Normal 3 28" xfId="2088"/>
    <cellStyle name="Normal 3 28 2" xfId="2089"/>
    <cellStyle name="Normal 3 28 2 2" xfId="2090"/>
    <cellStyle name="Normal 3 28 2 3" xfId="4082"/>
    <cellStyle name="Normal 3 28 3" xfId="2091"/>
    <cellStyle name="Normal 3 28 3 2" xfId="2092"/>
    <cellStyle name="Normal 3 28 4" xfId="2093"/>
    <cellStyle name="Normal 3 28 4 2" xfId="2094"/>
    <cellStyle name="Normal 3 28 5" xfId="2095"/>
    <cellStyle name="Normal 3 28 5 2" xfId="4083"/>
    <cellStyle name="Normal 3 28 6" xfId="2096"/>
    <cellStyle name="Normal 3 29" xfId="2097"/>
    <cellStyle name="Normal 3 29 2" xfId="2098"/>
    <cellStyle name="Normal 3 29 2 2" xfId="2099"/>
    <cellStyle name="Normal 3 29 2 3" xfId="4084"/>
    <cellStyle name="Normal 3 29 3" xfId="2100"/>
    <cellStyle name="Normal 3 29 3 2" xfId="2101"/>
    <cellStyle name="Normal 3 29 4" xfId="2102"/>
    <cellStyle name="Normal 3 29 4 2" xfId="2103"/>
    <cellStyle name="Normal 3 29 5" xfId="2104"/>
    <cellStyle name="Normal 3 29 5 2" xfId="4085"/>
    <cellStyle name="Normal 3 29 6" xfId="2105"/>
    <cellStyle name="Normal 3 3" xfId="2106"/>
    <cellStyle name="Normal 3 3 2" xfId="2107"/>
    <cellStyle name="Normal 3 3 2 2" xfId="2108"/>
    <cellStyle name="Normal 3 3 2 3" xfId="4086"/>
    <cellStyle name="Normal 3 3 3" xfId="2109"/>
    <cellStyle name="Normal 3 3 3 2" xfId="2110"/>
    <cellStyle name="Normal 3 3 4" xfId="2111"/>
    <cellStyle name="Normal 3 3 4 2" xfId="2112"/>
    <cellStyle name="Normal 3 3 5" xfId="2113"/>
    <cellStyle name="Normal 3 3 5 2" xfId="4087"/>
    <cellStyle name="Normal 3 3 6" xfId="2114"/>
    <cellStyle name="Normal 3 30" xfId="2115"/>
    <cellStyle name="Normal 3 30 2" xfId="2116"/>
    <cellStyle name="Normal 3 30 2 2" xfId="2117"/>
    <cellStyle name="Normal 3 30 2 3" xfId="4088"/>
    <cellStyle name="Normal 3 30 3" xfId="2118"/>
    <cellStyle name="Normal 3 30 3 2" xfId="2119"/>
    <cellStyle name="Normal 3 30 4" xfId="2120"/>
    <cellStyle name="Normal 3 30 4 2" xfId="2121"/>
    <cellStyle name="Normal 3 30 5" xfId="2122"/>
    <cellStyle name="Normal 3 30 5 2" xfId="4089"/>
    <cellStyle name="Normal 3 30 6" xfId="2123"/>
    <cellStyle name="Normal 3 31" xfId="2124"/>
    <cellStyle name="Normal 3 31 2" xfId="2125"/>
    <cellStyle name="Normal 3 31 2 2" xfId="2126"/>
    <cellStyle name="Normal 3 31 2 3" xfId="4090"/>
    <cellStyle name="Normal 3 31 3" xfId="2127"/>
    <cellStyle name="Normal 3 31 3 2" xfId="2128"/>
    <cellStyle name="Normal 3 31 4" xfId="2129"/>
    <cellStyle name="Normal 3 31 4 2" xfId="2130"/>
    <cellStyle name="Normal 3 31 5" xfId="2131"/>
    <cellStyle name="Normal 3 31 5 2" xfId="4091"/>
    <cellStyle name="Normal 3 31 6" xfId="2132"/>
    <cellStyle name="Normal 3 32" xfId="2133"/>
    <cellStyle name="Normal 3 32 2" xfId="2134"/>
    <cellStyle name="Normal 3 32 2 2" xfId="2135"/>
    <cellStyle name="Normal 3 32 2 3" xfId="4092"/>
    <cellStyle name="Normal 3 32 3" xfId="2136"/>
    <cellStyle name="Normal 3 32 3 2" xfId="2137"/>
    <cellStyle name="Normal 3 32 4" xfId="2138"/>
    <cellStyle name="Normal 3 32 4 2" xfId="2139"/>
    <cellStyle name="Normal 3 32 5" xfId="2140"/>
    <cellStyle name="Normal 3 32 5 2" xfId="4093"/>
    <cellStyle name="Normal 3 32 6" xfId="2141"/>
    <cellStyle name="Normal 3 33" xfId="2142"/>
    <cellStyle name="Normal 3 33 2" xfId="2143"/>
    <cellStyle name="Normal 3 33 3" xfId="4094"/>
    <cellStyle name="Normal 3 34" xfId="2144"/>
    <cellStyle name="Normal 3 34 2" xfId="2145"/>
    <cellStyle name="Normal 3 35" xfId="2146"/>
    <cellStyle name="Normal 3 35 2" xfId="4095"/>
    <cellStyle name="Normal 3 36" xfId="2147"/>
    <cellStyle name="Normal 3 37" xfId="3594"/>
    <cellStyle name="Normal 3 4" xfId="2148"/>
    <cellStyle name="Normal 3 4 2" xfId="2149"/>
    <cellStyle name="Normal 3 4 2 2" xfId="2150"/>
    <cellStyle name="Normal 3 4 2 3" xfId="4096"/>
    <cellStyle name="Normal 3 4 3" xfId="2151"/>
    <cellStyle name="Normal 3 4 3 2" xfId="2152"/>
    <cellStyle name="Normal 3 4 4" xfId="2153"/>
    <cellStyle name="Normal 3 4 4 2" xfId="2154"/>
    <cellStyle name="Normal 3 4 5" xfId="2155"/>
    <cellStyle name="Normal 3 4 5 2" xfId="4097"/>
    <cellStyle name="Normal 3 4 6" xfId="2156"/>
    <cellStyle name="Normal 3 5" xfId="2157"/>
    <cellStyle name="Normal 3 5 2" xfId="2158"/>
    <cellStyle name="Normal 3 5 2 2" xfId="2159"/>
    <cellStyle name="Normal 3 5 2 3" xfId="4098"/>
    <cellStyle name="Normal 3 5 3" xfId="2160"/>
    <cellStyle name="Normal 3 5 3 2" xfId="2161"/>
    <cellStyle name="Normal 3 5 4" xfId="2162"/>
    <cellStyle name="Normal 3 5 4 2" xfId="2163"/>
    <cellStyle name="Normal 3 5 5" xfId="2164"/>
    <cellStyle name="Normal 3 5 5 2" xfId="4099"/>
    <cellStyle name="Normal 3 5 6" xfId="2165"/>
    <cellStyle name="Normal 3 6" xfId="2166"/>
    <cellStyle name="Normal 3 6 2" xfId="2167"/>
    <cellStyle name="Normal 3 6 2 2" xfId="2168"/>
    <cellStyle name="Normal 3 6 2 3" xfId="4100"/>
    <cellStyle name="Normal 3 6 3" xfId="2169"/>
    <cellStyle name="Normal 3 6 3 2" xfId="2170"/>
    <cellStyle name="Normal 3 6 4" xfId="2171"/>
    <cellStyle name="Normal 3 6 4 2" xfId="2172"/>
    <cellStyle name="Normal 3 6 5" xfId="2173"/>
    <cellStyle name="Normal 3 6 5 2" xfId="4101"/>
    <cellStyle name="Normal 3 6 6" xfId="2174"/>
    <cellStyle name="Normal 3 7" xfId="2175"/>
    <cellStyle name="Normal 3 7 2" xfId="2176"/>
    <cellStyle name="Normal 3 7 2 2" xfId="2177"/>
    <cellStyle name="Normal 3 7 2 3" xfId="4102"/>
    <cellStyle name="Normal 3 7 3" xfId="2178"/>
    <cellStyle name="Normal 3 7 3 2" xfId="2179"/>
    <cellStyle name="Normal 3 7 4" xfId="2180"/>
    <cellStyle name="Normal 3 7 4 2" xfId="2181"/>
    <cellStyle name="Normal 3 7 5" xfId="2182"/>
    <cellStyle name="Normal 3 7 5 2" xfId="4103"/>
    <cellStyle name="Normal 3 7 6" xfId="2183"/>
    <cellStyle name="Normal 3 8" xfId="2184"/>
    <cellStyle name="Normal 3 8 2" xfId="2185"/>
    <cellStyle name="Normal 3 8 2 2" xfId="2186"/>
    <cellStyle name="Normal 3 8 2 3" xfId="4104"/>
    <cellStyle name="Normal 3 8 3" xfId="2187"/>
    <cellStyle name="Normal 3 8 3 2" xfId="2188"/>
    <cellStyle name="Normal 3 8 4" xfId="2189"/>
    <cellStyle name="Normal 3 8 4 2" xfId="2190"/>
    <cellStyle name="Normal 3 8 5" xfId="2191"/>
    <cellStyle name="Normal 3 8 5 2" xfId="4105"/>
    <cellStyle name="Normal 3 8 6" xfId="2192"/>
    <cellStyle name="Normal 3 9" xfId="2193"/>
    <cellStyle name="Normal 3 9 2" xfId="2194"/>
    <cellStyle name="Normal 3 9 2 2" xfId="2195"/>
    <cellStyle name="Normal 3 9 2 3" xfId="4106"/>
    <cellStyle name="Normal 3 9 3" xfId="2196"/>
    <cellStyle name="Normal 3 9 3 2" xfId="2197"/>
    <cellStyle name="Normal 3 9 4" xfId="2198"/>
    <cellStyle name="Normal 3 9 4 2" xfId="2199"/>
    <cellStyle name="Normal 3 9 5" xfId="2200"/>
    <cellStyle name="Normal 3 9 5 2" xfId="4107"/>
    <cellStyle name="Normal 3 9 6" xfId="2201"/>
    <cellStyle name="Normal 30 2" xfId="2202"/>
    <cellStyle name="Normal 30 2 2" xfId="2203"/>
    <cellStyle name="Normal 30 2 3" xfId="4108"/>
    <cellStyle name="Normal 30 3" xfId="2204"/>
    <cellStyle name="Normal 30 3 2" xfId="2205"/>
    <cellStyle name="Normal 30 4" xfId="2206"/>
    <cellStyle name="Normal 30 4 2" xfId="4109"/>
    <cellStyle name="Normal 30 5" xfId="2207"/>
    <cellStyle name="Normal 300" xfId="2208"/>
    <cellStyle name="Normal 300 2" xfId="2209"/>
    <cellStyle name="Normal 300 3" xfId="4110"/>
    <cellStyle name="Normal 308" xfId="2210"/>
    <cellStyle name="Normal 31 2" xfId="2211"/>
    <cellStyle name="Normal 31 2 2" xfId="2212"/>
    <cellStyle name="Normal 31 2 3" xfId="4111"/>
    <cellStyle name="Normal 31 3" xfId="2213"/>
    <cellStyle name="Normal 31 3 2" xfId="2214"/>
    <cellStyle name="Normal 31 4" xfId="2215"/>
    <cellStyle name="Normal 31 4 2" xfId="4112"/>
    <cellStyle name="Normal 31 5" xfId="2216"/>
    <cellStyle name="Normal 32 2" xfId="2217"/>
    <cellStyle name="Normal 32 2 2" xfId="2218"/>
    <cellStyle name="Normal 32 2 3" xfId="4113"/>
    <cellStyle name="Normal 32 3" xfId="2219"/>
    <cellStyle name="Normal 32 3 2" xfId="2220"/>
    <cellStyle name="Normal 32 4" xfId="2221"/>
    <cellStyle name="Normal 32 4 2" xfId="4114"/>
    <cellStyle name="Normal 32 5" xfId="2222"/>
    <cellStyle name="Normal 33 2" xfId="2223"/>
    <cellStyle name="Normal 33 2 2" xfId="2224"/>
    <cellStyle name="Normal 33 2 3" xfId="4115"/>
    <cellStyle name="Normal 33 3" xfId="2225"/>
    <cellStyle name="Normal 33 3 2" xfId="2226"/>
    <cellStyle name="Normal 33 4" xfId="2227"/>
    <cellStyle name="Normal 33 4 2" xfId="4116"/>
    <cellStyle name="Normal 33 5" xfId="2228"/>
    <cellStyle name="Normal 34 2" xfId="2229"/>
    <cellStyle name="Normal 34 2 2" xfId="2230"/>
    <cellStyle name="Normal 34 2 3" xfId="4117"/>
    <cellStyle name="Normal 34 3" xfId="2231"/>
    <cellStyle name="Normal 34 3 2" xfId="2232"/>
    <cellStyle name="Normal 34 4" xfId="2233"/>
    <cellStyle name="Normal 34 4 2" xfId="4118"/>
    <cellStyle name="Normal 34 5" xfId="2234"/>
    <cellStyle name="Normal 35 2" xfId="2235"/>
    <cellStyle name="Normal 35 2 2" xfId="2236"/>
    <cellStyle name="Normal 35 2 3" xfId="4119"/>
    <cellStyle name="Normal 35 3" xfId="2237"/>
    <cellStyle name="Normal 35 3 2" xfId="2238"/>
    <cellStyle name="Normal 35 4" xfId="2239"/>
    <cellStyle name="Normal 35 4 2" xfId="4120"/>
    <cellStyle name="Normal 35 5" xfId="2240"/>
    <cellStyle name="Normal 36 2" xfId="2241"/>
    <cellStyle name="Normal 36 2 2" xfId="2242"/>
    <cellStyle name="Normal 36 2 3" xfId="4121"/>
    <cellStyle name="Normal 36 3" xfId="2243"/>
    <cellStyle name="Normal 36 3 2" xfId="2244"/>
    <cellStyle name="Normal 36 4" xfId="2245"/>
    <cellStyle name="Normal 36 4 2" xfId="4122"/>
    <cellStyle name="Normal 36 5" xfId="2246"/>
    <cellStyle name="Normal 37 2" xfId="2247"/>
    <cellStyle name="Normal 37 2 2" xfId="2248"/>
    <cellStyle name="Normal 37 2 3" xfId="4123"/>
    <cellStyle name="Normal 37 3" xfId="2249"/>
    <cellStyle name="Normal 37 3 2" xfId="2250"/>
    <cellStyle name="Normal 37 4" xfId="2251"/>
    <cellStyle name="Normal 37 4 2" xfId="4124"/>
    <cellStyle name="Normal 37 5" xfId="2252"/>
    <cellStyle name="Normal 38 2" xfId="2253"/>
    <cellStyle name="Normal 38 2 2" xfId="2254"/>
    <cellStyle name="Normal 38 2 3" xfId="4125"/>
    <cellStyle name="Normal 38 3" xfId="2255"/>
    <cellStyle name="Normal 38 3 2" xfId="2256"/>
    <cellStyle name="Normal 38 4" xfId="2257"/>
    <cellStyle name="Normal 38 4 2" xfId="4126"/>
    <cellStyle name="Normal 38 5" xfId="2258"/>
    <cellStyle name="Normal 39 2" xfId="2259"/>
    <cellStyle name="Normal 39 2 2" xfId="2260"/>
    <cellStyle name="Normal 39 2 3" xfId="4127"/>
    <cellStyle name="Normal 39 3" xfId="2261"/>
    <cellStyle name="Normal 39 3 2" xfId="2262"/>
    <cellStyle name="Normal 39 4" xfId="2263"/>
    <cellStyle name="Normal 39 4 2" xfId="4128"/>
    <cellStyle name="Normal 39 5" xfId="2264"/>
    <cellStyle name="Normal 4" xfId="8"/>
    <cellStyle name="Normal 4 10" xfId="2265"/>
    <cellStyle name="Normal 4 10 2" xfId="2266"/>
    <cellStyle name="Normal 4 10 2 2" xfId="2267"/>
    <cellStyle name="Normal 4 10 3" xfId="2268"/>
    <cellStyle name="Normal 4 10 4" xfId="4129"/>
    <cellStyle name="Normal 4 11" xfId="2269"/>
    <cellStyle name="Normal 4 11 2" xfId="2270"/>
    <cellStyle name="Normal 4 11 2 2" xfId="2271"/>
    <cellStyle name="Normal 4 11 3" xfId="2272"/>
    <cellStyle name="Normal 4 11 4" xfId="4130"/>
    <cellStyle name="Normal 4 12" xfId="2273"/>
    <cellStyle name="Normal 4 12 2" xfId="2274"/>
    <cellStyle name="Normal 4 12 2 2" xfId="2275"/>
    <cellStyle name="Normal 4 12 3" xfId="2276"/>
    <cellStyle name="Normal 4 12 4" xfId="4131"/>
    <cellStyle name="Normal 4 13" xfId="2277"/>
    <cellStyle name="Normal 4 13 2" xfId="2278"/>
    <cellStyle name="Normal 4 14" xfId="2279"/>
    <cellStyle name="Normal 4 15" xfId="3597"/>
    <cellStyle name="Normal 4 2" xfId="2280"/>
    <cellStyle name="Normal 4 2 2" xfId="2281"/>
    <cellStyle name="Normal 4 2 2 2" xfId="2282"/>
    <cellStyle name="Normal 4 2 3" xfId="2283"/>
    <cellStyle name="Normal 4 2 4" xfId="4132"/>
    <cellStyle name="Normal 4 3" xfId="2284"/>
    <cellStyle name="Normal 4 3 2" xfId="2285"/>
    <cellStyle name="Normal 4 3 2 2" xfId="2286"/>
    <cellStyle name="Normal 4 3 3" xfId="2287"/>
    <cellStyle name="Normal 4 3 4" xfId="4133"/>
    <cellStyle name="Normal 4 4" xfId="2288"/>
    <cellStyle name="Normal 4 4 2" xfId="2289"/>
    <cellStyle name="Normal 4 4 2 2" xfId="2290"/>
    <cellStyle name="Normal 4 4 3" xfId="2291"/>
    <cellStyle name="Normal 4 4 4" xfId="4134"/>
    <cellStyle name="Normal 4 5" xfId="2292"/>
    <cellStyle name="Normal 4 5 2" xfId="2293"/>
    <cellStyle name="Normal 4 5 2 2" xfId="2294"/>
    <cellStyle name="Normal 4 5 3" xfId="2295"/>
    <cellStyle name="Normal 4 5 4" xfId="4135"/>
    <cellStyle name="Normal 4 6" xfId="2296"/>
    <cellStyle name="Normal 4 6 2" xfId="2297"/>
    <cellStyle name="Normal 4 6 2 2" xfId="2298"/>
    <cellStyle name="Normal 4 6 3" xfId="2299"/>
    <cellStyle name="Normal 4 6 4" xfId="4136"/>
    <cellStyle name="Normal 4 7" xfId="2300"/>
    <cellStyle name="Normal 4 7 2" xfId="2301"/>
    <cellStyle name="Normal 4 7 2 2" xfId="2302"/>
    <cellStyle name="Normal 4 7 3" xfId="2303"/>
    <cellStyle name="Normal 4 7 4" xfId="4137"/>
    <cellStyle name="Normal 4 8" xfId="2304"/>
    <cellStyle name="Normal 4 8 2" xfId="2305"/>
    <cellStyle name="Normal 4 8 2 2" xfId="2306"/>
    <cellStyle name="Normal 4 8 3" xfId="2307"/>
    <cellStyle name="Normal 4 8 4" xfId="4138"/>
    <cellStyle name="Normal 4 9" xfId="2308"/>
    <cellStyle name="Normal 4 9 2" xfId="2309"/>
    <cellStyle name="Normal 4 9 2 2" xfId="2310"/>
    <cellStyle name="Normal 4 9 3" xfId="2311"/>
    <cellStyle name="Normal 4 9 4" xfId="4139"/>
    <cellStyle name="Normal 40 2" xfId="2312"/>
    <cellStyle name="Normal 40 2 2" xfId="2313"/>
    <cellStyle name="Normal 40 2 3" xfId="4140"/>
    <cellStyle name="Normal 40 3" xfId="2314"/>
    <cellStyle name="Normal 40 3 2" xfId="2315"/>
    <cellStyle name="Normal 40 4" xfId="2316"/>
    <cellStyle name="Normal 40 4 2" xfId="4141"/>
    <cellStyle name="Normal 40 5" xfId="2317"/>
    <cellStyle name="Normal 41 2" xfId="2318"/>
    <cellStyle name="Normal 41 2 2" xfId="2319"/>
    <cellStyle name="Normal 41 2 3" xfId="4142"/>
    <cellStyle name="Normal 41 3" xfId="2320"/>
    <cellStyle name="Normal 41 3 2" xfId="2321"/>
    <cellStyle name="Normal 41 4" xfId="2322"/>
    <cellStyle name="Normal 41 4 2" xfId="4143"/>
    <cellStyle name="Normal 41 5" xfId="2323"/>
    <cellStyle name="Normal 42 2" xfId="2324"/>
    <cellStyle name="Normal 42 2 2" xfId="2325"/>
    <cellStyle name="Normal 42 2 3" xfId="4144"/>
    <cellStyle name="Normal 42 3" xfId="2326"/>
    <cellStyle name="Normal 42 3 2" xfId="2327"/>
    <cellStyle name="Normal 42 4" xfId="2328"/>
    <cellStyle name="Normal 42 4 2" xfId="4145"/>
    <cellStyle name="Normal 42 5" xfId="2329"/>
    <cellStyle name="Normal 43 2" xfId="2330"/>
    <cellStyle name="Normal 43 2 2" xfId="2331"/>
    <cellStyle name="Normal 43 2 3" xfId="4146"/>
    <cellStyle name="Normal 43 3" xfId="2332"/>
    <cellStyle name="Normal 43 3 2" xfId="2333"/>
    <cellStyle name="Normal 43 4" xfId="2334"/>
    <cellStyle name="Normal 43 4 2" xfId="4147"/>
    <cellStyle name="Normal 43 5" xfId="2335"/>
    <cellStyle name="Normal 44 2" xfId="2336"/>
    <cellStyle name="Normal 44 2 2" xfId="2337"/>
    <cellStyle name="Normal 44 2 3" xfId="4148"/>
    <cellStyle name="Normal 44 3" xfId="2338"/>
    <cellStyle name="Normal 44 3 2" xfId="2339"/>
    <cellStyle name="Normal 44 4" xfId="2340"/>
    <cellStyle name="Normal 44 4 2" xfId="4149"/>
    <cellStyle name="Normal 44 5" xfId="2341"/>
    <cellStyle name="Normal 45 2" xfId="2342"/>
    <cellStyle name="Normal 45 2 2" xfId="2343"/>
    <cellStyle name="Normal 45 2 3" xfId="4150"/>
    <cellStyle name="Normal 45 3" xfId="2344"/>
    <cellStyle name="Normal 45 3 2" xfId="2345"/>
    <cellStyle name="Normal 45 4" xfId="2346"/>
    <cellStyle name="Normal 45 4 2" xfId="4151"/>
    <cellStyle name="Normal 45 5" xfId="2347"/>
    <cellStyle name="Normal 46 2" xfId="2348"/>
    <cellStyle name="Normal 46 2 2" xfId="2349"/>
    <cellStyle name="Normal 46 2 3" xfId="4152"/>
    <cellStyle name="Normal 46 3" xfId="2350"/>
    <cellStyle name="Normal 46 3 2" xfId="2351"/>
    <cellStyle name="Normal 46 4" xfId="2352"/>
    <cellStyle name="Normal 46 4 2" xfId="4153"/>
    <cellStyle name="Normal 46 5" xfId="2353"/>
    <cellStyle name="Normal 47 2" xfId="2354"/>
    <cellStyle name="Normal 47 2 2" xfId="2355"/>
    <cellStyle name="Normal 47 2 3" xfId="4154"/>
    <cellStyle name="Normal 47 3" xfId="2356"/>
    <cellStyle name="Normal 47 3 2" xfId="2357"/>
    <cellStyle name="Normal 47 4" xfId="2358"/>
    <cellStyle name="Normal 47 4 2" xfId="4155"/>
    <cellStyle name="Normal 47 5" xfId="2359"/>
    <cellStyle name="Normal 48 2" xfId="2360"/>
    <cellStyle name="Normal 48 2 2" xfId="2361"/>
    <cellStyle name="Normal 48 2 2 2" xfId="2362"/>
    <cellStyle name="Normal 48 2 2 3" xfId="4156"/>
    <cellStyle name="Normal 48 2 3" xfId="2363"/>
    <cellStyle name="Normal 48 2 3 2" xfId="2364"/>
    <cellStyle name="Normal 48 2 4" xfId="2365"/>
    <cellStyle name="Normal 48 2 4 2" xfId="2366"/>
    <cellStyle name="Normal 48 2 5" xfId="2367"/>
    <cellStyle name="Normal 48 2 5 2" xfId="4157"/>
    <cellStyle name="Normal 48 2 6" xfId="2368"/>
    <cellStyle name="Normal 48 3" xfId="2369"/>
    <cellStyle name="Normal 48 3 2" xfId="2370"/>
    <cellStyle name="Normal 48 3 3" xfId="4158"/>
    <cellStyle name="Normal 48 4" xfId="2371"/>
    <cellStyle name="Normal 48 4 2" xfId="2372"/>
    <cellStyle name="Normal 48 5" xfId="2373"/>
    <cellStyle name="Normal 48 5 2" xfId="4159"/>
    <cellStyle name="Normal 48 6" xfId="2374"/>
    <cellStyle name="Normal 49 2" xfId="2375"/>
    <cellStyle name="Normal 49 2 2" xfId="2376"/>
    <cellStyle name="Normal 49 2 3" xfId="4160"/>
    <cellStyle name="Normal 49 3" xfId="2377"/>
    <cellStyle name="Normal 49 3 2" xfId="2378"/>
    <cellStyle name="Normal 49 4" xfId="2379"/>
    <cellStyle name="Normal 49 4 2" xfId="4161"/>
    <cellStyle name="Normal 49 5" xfId="2380"/>
    <cellStyle name="Normal 5" xfId="3585"/>
    <cellStyle name="Normal 5 10" xfId="2381"/>
    <cellStyle name="Normal 5 10 2" xfId="2382"/>
    <cellStyle name="Normal 5 10 3" xfId="4162"/>
    <cellStyle name="Normal 5 11" xfId="2383"/>
    <cellStyle name="Normal 5 11 2" xfId="2384"/>
    <cellStyle name="Normal 5 12" xfId="2385"/>
    <cellStyle name="Normal 5 12 2" xfId="4163"/>
    <cellStyle name="Normal 5 13" xfId="2386"/>
    <cellStyle name="Normal 5 14" xfId="4387"/>
    <cellStyle name="Normal 5 2" xfId="2387"/>
    <cellStyle name="Normal 5 2 2" xfId="2388"/>
    <cellStyle name="Normal 5 2 2 2" xfId="2389"/>
    <cellStyle name="Normal 5 2 2 3" xfId="4164"/>
    <cellStyle name="Normal 5 2 3" xfId="2390"/>
    <cellStyle name="Normal 5 2 3 2" xfId="2391"/>
    <cellStyle name="Normal 5 2 4" xfId="2392"/>
    <cellStyle name="Normal 5 2 4 2" xfId="2393"/>
    <cellStyle name="Normal 5 2 5" xfId="2394"/>
    <cellStyle name="Normal 5 2 5 2" xfId="4165"/>
    <cellStyle name="Normal 5 2 6" xfId="2395"/>
    <cellStyle name="Normal 5 3" xfId="2396"/>
    <cellStyle name="Normal 5 3 2" xfId="2397"/>
    <cellStyle name="Normal 5 3 2 2" xfId="2398"/>
    <cellStyle name="Normal 5 3 2 3" xfId="4166"/>
    <cellStyle name="Normal 5 3 3" xfId="2399"/>
    <cellStyle name="Normal 5 3 3 2" xfId="2400"/>
    <cellStyle name="Normal 5 3 4" xfId="2401"/>
    <cellStyle name="Normal 5 3 4 2" xfId="2402"/>
    <cellStyle name="Normal 5 3 5" xfId="2403"/>
    <cellStyle name="Normal 5 3 5 2" xfId="4167"/>
    <cellStyle name="Normal 5 3 6" xfId="2404"/>
    <cellStyle name="Normal 5 4" xfId="2405"/>
    <cellStyle name="Normal 5 4 2" xfId="2406"/>
    <cellStyle name="Normal 5 4 2 2" xfId="2407"/>
    <cellStyle name="Normal 5 4 2 3" xfId="4168"/>
    <cellStyle name="Normal 5 4 3" xfId="2408"/>
    <cellStyle name="Normal 5 4 3 2" xfId="2409"/>
    <cellStyle name="Normal 5 4 4" xfId="2410"/>
    <cellStyle name="Normal 5 4 4 2" xfId="2411"/>
    <cellStyle name="Normal 5 4 5" xfId="2412"/>
    <cellStyle name="Normal 5 4 5 2" xfId="4169"/>
    <cellStyle name="Normal 5 4 6" xfId="2413"/>
    <cellStyle name="Normal 5 5" xfId="2414"/>
    <cellStyle name="Normal 5 5 2" xfId="2415"/>
    <cellStyle name="Normal 5 5 2 2" xfId="2416"/>
    <cellStyle name="Normal 5 5 2 3" xfId="4170"/>
    <cellStyle name="Normal 5 5 3" xfId="2417"/>
    <cellStyle name="Normal 5 5 3 2" xfId="2418"/>
    <cellStyle name="Normal 5 5 4" xfId="2419"/>
    <cellStyle name="Normal 5 5 4 2" xfId="2420"/>
    <cellStyle name="Normal 5 5 5" xfId="2421"/>
    <cellStyle name="Normal 5 5 5 2" xfId="4171"/>
    <cellStyle name="Normal 5 5 6" xfId="2422"/>
    <cellStyle name="Normal 5 6" xfId="2423"/>
    <cellStyle name="Normal 5 6 2" xfId="2424"/>
    <cellStyle name="Normal 5 6 2 2" xfId="2425"/>
    <cellStyle name="Normal 5 6 2 3" xfId="4172"/>
    <cellStyle name="Normal 5 6 3" xfId="2426"/>
    <cellStyle name="Normal 5 6 3 2" xfId="2427"/>
    <cellStyle name="Normal 5 6 4" xfId="2428"/>
    <cellStyle name="Normal 5 6 4 2" xfId="2429"/>
    <cellStyle name="Normal 5 6 5" xfId="2430"/>
    <cellStyle name="Normal 5 6 5 2" xfId="4173"/>
    <cellStyle name="Normal 5 6 6" xfId="2431"/>
    <cellStyle name="Normal 5 7" xfId="2432"/>
    <cellStyle name="Normal 5 7 2" xfId="2433"/>
    <cellStyle name="Normal 5 7 2 2" xfId="2434"/>
    <cellStyle name="Normal 5 7 2 3" xfId="4174"/>
    <cellStyle name="Normal 5 7 3" xfId="2435"/>
    <cellStyle name="Normal 5 7 3 2" xfId="2436"/>
    <cellStyle name="Normal 5 7 4" xfId="2437"/>
    <cellStyle name="Normal 5 7 4 2" xfId="2438"/>
    <cellStyle name="Normal 5 7 5" xfId="2439"/>
    <cellStyle name="Normal 5 7 5 2" xfId="4175"/>
    <cellStyle name="Normal 5 7 6" xfId="2440"/>
    <cellStyle name="Normal 5 8" xfId="2441"/>
    <cellStyle name="Normal 5 8 2" xfId="2442"/>
    <cellStyle name="Normal 5 8 2 2" xfId="2443"/>
    <cellStyle name="Normal 5 8 2 3" xfId="4176"/>
    <cellStyle name="Normal 5 8 3" xfId="2444"/>
    <cellStyle name="Normal 5 8 3 2" xfId="2445"/>
    <cellStyle name="Normal 5 8 4" xfId="2446"/>
    <cellStyle name="Normal 5 8 4 2" xfId="2447"/>
    <cellStyle name="Normal 5 8 5" xfId="2448"/>
    <cellStyle name="Normal 5 8 5 2" xfId="4177"/>
    <cellStyle name="Normal 5 8 6" xfId="2449"/>
    <cellStyle name="Normal 5 9" xfId="2450"/>
    <cellStyle name="Normal 5 9 2" xfId="2451"/>
    <cellStyle name="Normal 5 9 2 2" xfId="2452"/>
    <cellStyle name="Normal 5 9 2 3" xfId="4178"/>
    <cellStyle name="Normal 5 9 3" xfId="2453"/>
    <cellStyle name="Normal 5 9 3 2" xfId="2454"/>
    <cellStyle name="Normal 5 9 4" xfId="2455"/>
    <cellStyle name="Normal 5 9 4 2" xfId="2456"/>
    <cellStyle name="Normal 5 9 5" xfId="2457"/>
    <cellStyle name="Normal 5 9 5 2" xfId="4179"/>
    <cellStyle name="Normal 5 9 6" xfId="2458"/>
    <cellStyle name="Normal 50 2" xfId="2459"/>
    <cellStyle name="Normal 50 2 2" xfId="2460"/>
    <cellStyle name="Normal 50 2 2 2" xfId="2461"/>
    <cellStyle name="Normal 50 2 2 3" xfId="4180"/>
    <cellStyle name="Normal 50 2 3" xfId="2462"/>
    <cellStyle name="Normal 50 2 3 2" xfId="2463"/>
    <cellStyle name="Normal 50 2 4" xfId="2464"/>
    <cellStyle name="Normal 50 2 4 2" xfId="2465"/>
    <cellStyle name="Normal 50 2 5" xfId="2466"/>
    <cellStyle name="Normal 50 2 5 2" xfId="4181"/>
    <cellStyle name="Normal 50 2 6" xfId="2467"/>
    <cellStyle name="Normal 50 3" xfId="2468"/>
    <cellStyle name="Normal 50 3 2" xfId="2469"/>
    <cellStyle name="Normal 50 3 3" xfId="4182"/>
    <cellStyle name="Normal 50 4" xfId="2470"/>
    <cellStyle name="Normal 50 4 2" xfId="2471"/>
    <cellStyle name="Normal 50 5" xfId="2472"/>
    <cellStyle name="Normal 50 5 2" xfId="4183"/>
    <cellStyle name="Normal 50 6" xfId="2473"/>
    <cellStyle name="Normal 51 2" xfId="2474"/>
    <cellStyle name="Normal 51 2 2" xfId="2475"/>
    <cellStyle name="Normal 51 2 3" xfId="4184"/>
    <cellStyle name="Normal 51 3" xfId="2476"/>
    <cellStyle name="Normal 51 3 2" xfId="2477"/>
    <cellStyle name="Normal 51 4" xfId="2478"/>
    <cellStyle name="Normal 51 4 2" xfId="4185"/>
    <cellStyle name="Normal 51 5" xfId="2479"/>
    <cellStyle name="Normal 52 2" xfId="2480"/>
    <cellStyle name="Normal 52 2 2" xfId="2481"/>
    <cellStyle name="Normal 52 2 3" xfId="4186"/>
    <cellStyle name="Normal 52 3" xfId="2482"/>
    <cellStyle name="Normal 52 3 2" xfId="2483"/>
    <cellStyle name="Normal 52 4" xfId="2484"/>
    <cellStyle name="Normal 52 4 2" xfId="4187"/>
    <cellStyle name="Normal 52 5" xfId="2485"/>
    <cellStyle name="Normal 53 2" xfId="2486"/>
    <cellStyle name="Normal 53 2 2" xfId="2487"/>
    <cellStyle name="Normal 53 2 2 2" xfId="2488"/>
    <cellStyle name="Normal 53 2 2 3" xfId="4188"/>
    <cellStyle name="Normal 53 2 3" xfId="2489"/>
    <cellStyle name="Normal 53 2 3 2" xfId="2490"/>
    <cellStyle name="Normal 53 2 4" xfId="2491"/>
    <cellStyle name="Normal 53 2 4 2" xfId="2492"/>
    <cellStyle name="Normal 53 2 5" xfId="2493"/>
    <cellStyle name="Normal 53 2 5 2" xfId="4189"/>
    <cellStyle name="Normal 53 2 6" xfId="2494"/>
    <cellStyle name="Normal 53 3" xfId="2495"/>
    <cellStyle name="Normal 53 3 2" xfId="2496"/>
    <cellStyle name="Normal 53 3 3" xfId="4190"/>
    <cellStyle name="Normal 53 4" xfId="2497"/>
    <cellStyle name="Normal 53 4 2" xfId="2498"/>
    <cellStyle name="Normal 53 5" xfId="2499"/>
    <cellStyle name="Normal 53 5 2" xfId="4191"/>
    <cellStyle name="Normal 53 6" xfId="2500"/>
    <cellStyle name="Normal 54 2" xfId="2501"/>
    <cellStyle name="Normal 54 2 2" xfId="2502"/>
    <cellStyle name="Normal 54 2 2 2" xfId="2503"/>
    <cellStyle name="Normal 54 2 2 3" xfId="4192"/>
    <cellStyle name="Normal 54 2 3" xfId="2504"/>
    <cellStyle name="Normal 54 2 3 2" xfId="2505"/>
    <cellStyle name="Normal 54 2 4" xfId="2506"/>
    <cellStyle name="Normal 54 2 4 2" xfId="2507"/>
    <cellStyle name="Normal 54 2 5" xfId="2508"/>
    <cellStyle name="Normal 54 2 5 2" xfId="4193"/>
    <cellStyle name="Normal 54 2 6" xfId="2509"/>
    <cellStyle name="Normal 54 3" xfId="2510"/>
    <cellStyle name="Normal 54 3 2" xfId="2511"/>
    <cellStyle name="Normal 54 3 3" xfId="4194"/>
    <cellStyle name="Normal 54 4" xfId="2512"/>
    <cellStyle name="Normal 54 4 2" xfId="2513"/>
    <cellStyle name="Normal 54 5" xfId="2514"/>
    <cellStyle name="Normal 54 5 2" xfId="4195"/>
    <cellStyle name="Normal 54 6" xfId="2515"/>
    <cellStyle name="Normal 55 2" xfId="2516"/>
    <cellStyle name="Normal 55 2 10" xfId="2517"/>
    <cellStyle name="Normal 55 2 10 2" xfId="2518"/>
    <cellStyle name="Normal 55 2 11" xfId="2519"/>
    <cellStyle name="Normal 55 2 11 2" xfId="4196"/>
    <cellStyle name="Normal 55 2 12" xfId="2520"/>
    <cellStyle name="Normal 55 2 2" xfId="2521"/>
    <cellStyle name="Normal 55 2 2 2" xfId="2522"/>
    <cellStyle name="Normal 55 2 2 2 2" xfId="2523"/>
    <cellStyle name="Normal 55 2 2 2 3" xfId="4197"/>
    <cellStyle name="Normal 55 2 2 3" xfId="2524"/>
    <cellStyle name="Normal 55 2 2 3 2" xfId="2525"/>
    <cellStyle name="Normal 55 2 2 4" xfId="2526"/>
    <cellStyle name="Normal 55 2 2 4 2" xfId="2527"/>
    <cellStyle name="Normal 55 2 2 5" xfId="2528"/>
    <cellStyle name="Normal 55 2 2 5 2" xfId="4198"/>
    <cellStyle name="Normal 55 2 2 6" xfId="2529"/>
    <cellStyle name="Normal 55 2 3" xfId="2530"/>
    <cellStyle name="Normal 55 2 3 2" xfId="2531"/>
    <cellStyle name="Normal 55 2 3 2 2" xfId="2532"/>
    <cellStyle name="Normal 55 2 3 2 3" xfId="4199"/>
    <cellStyle name="Normal 55 2 3 3" xfId="2533"/>
    <cellStyle name="Normal 55 2 3 3 2" xfId="2534"/>
    <cellStyle name="Normal 55 2 3 4" xfId="2535"/>
    <cellStyle name="Normal 55 2 3 4 2" xfId="2536"/>
    <cellStyle name="Normal 55 2 3 5" xfId="2537"/>
    <cellStyle name="Normal 55 2 3 5 2" xfId="4200"/>
    <cellStyle name="Normal 55 2 3 6" xfId="2538"/>
    <cellStyle name="Normal 55 2 4" xfId="2539"/>
    <cellStyle name="Normal 55 2 4 2" xfId="2540"/>
    <cellStyle name="Normal 55 2 4 2 2" xfId="2541"/>
    <cellStyle name="Normal 55 2 4 2 3" xfId="4201"/>
    <cellStyle name="Normal 55 2 4 3" xfId="2542"/>
    <cellStyle name="Normal 55 2 4 3 2" xfId="2543"/>
    <cellStyle name="Normal 55 2 4 4" xfId="2544"/>
    <cellStyle name="Normal 55 2 4 4 2" xfId="2545"/>
    <cellStyle name="Normal 55 2 4 5" xfId="2546"/>
    <cellStyle name="Normal 55 2 4 5 2" xfId="4202"/>
    <cellStyle name="Normal 55 2 4 6" xfId="2547"/>
    <cellStyle name="Normal 55 2 5" xfId="2548"/>
    <cellStyle name="Normal 55 2 5 2" xfId="2549"/>
    <cellStyle name="Normal 55 2 5 2 2" xfId="2550"/>
    <cellStyle name="Normal 55 2 5 2 3" xfId="4203"/>
    <cellStyle name="Normal 55 2 5 3" xfId="2551"/>
    <cellStyle name="Normal 55 2 5 3 2" xfId="2552"/>
    <cellStyle name="Normal 55 2 5 4" xfId="2553"/>
    <cellStyle name="Normal 55 2 5 4 2" xfId="2554"/>
    <cellStyle name="Normal 55 2 5 5" xfId="2555"/>
    <cellStyle name="Normal 55 2 5 5 2" xfId="4204"/>
    <cellStyle name="Normal 55 2 5 6" xfId="2556"/>
    <cellStyle name="Normal 55 2 6" xfId="2557"/>
    <cellStyle name="Normal 55 2 6 2" xfId="2558"/>
    <cellStyle name="Normal 55 2 7" xfId="2559"/>
    <cellStyle name="Normal 55 2 7 2" xfId="2560"/>
    <cellStyle name="Normal 55 2 7 2 2" xfId="2561"/>
    <cellStyle name="Normal 55 2 7 3" xfId="2562"/>
    <cellStyle name="Normal 55 2 7 4" xfId="4205"/>
    <cellStyle name="Normal 55 2 8" xfId="2563"/>
    <cellStyle name="Normal 55 2 8 2" xfId="2564"/>
    <cellStyle name="Normal 55 2 8 2 2" xfId="2565"/>
    <cellStyle name="Normal 55 2 8 3" xfId="2566"/>
    <cellStyle name="Normal 55 2 9" xfId="2567"/>
    <cellStyle name="Normal 55 2 9 2" xfId="2568"/>
    <cellStyle name="Normal 55 2_Depot Productwise Sales Report  April'14" xfId="2569"/>
    <cellStyle name="Normal 55 3" xfId="2570"/>
    <cellStyle name="Normal 55 3 2" xfId="2571"/>
    <cellStyle name="Normal 55 3 3" xfId="4206"/>
    <cellStyle name="Normal 55 4" xfId="2572"/>
    <cellStyle name="Normal 55 4 2" xfId="2573"/>
    <cellStyle name="Normal 55 5" xfId="2574"/>
    <cellStyle name="Normal 55 5 2" xfId="4207"/>
    <cellStyle name="Normal 55 6" xfId="2575"/>
    <cellStyle name="Normal 56 2" xfId="2576"/>
    <cellStyle name="Normal 56 2 2" xfId="11"/>
    <cellStyle name="Normal 56 2 2 2" xfId="2577"/>
    <cellStyle name="Normal 56 2 2 3" xfId="3599"/>
    <cellStyle name="Normal 56 2 3" xfId="2578"/>
    <cellStyle name="Normal 56 2 3 2" xfId="2579"/>
    <cellStyle name="Normal 56 2 4" xfId="2580"/>
    <cellStyle name="Normal 56 2 4 2" xfId="2581"/>
    <cellStyle name="Normal 56 2 5" xfId="2582"/>
    <cellStyle name="Normal 56 2 5 2" xfId="4208"/>
    <cellStyle name="Normal 56 2 6" xfId="2583"/>
    <cellStyle name="Normal 56 3" xfId="2584"/>
    <cellStyle name="Normal 56 3 2" xfId="2585"/>
    <cellStyle name="Normal 56 3 3" xfId="4209"/>
    <cellStyle name="Normal 56 4" xfId="2586"/>
    <cellStyle name="Normal 56 4 2" xfId="2587"/>
    <cellStyle name="Normal 56 5" xfId="2588"/>
    <cellStyle name="Normal 56 5 2" xfId="4210"/>
    <cellStyle name="Normal 56 6" xfId="2589"/>
    <cellStyle name="Normal 57 10" xfId="2590"/>
    <cellStyle name="Normal 57 2" xfId="2591"/>
    <cellStyle name="Normal 57 2 2" xfId="13"/>
    <cellStyle name="Normal 57 2 2 2" xfId="2592"/>
    <cellStyle name="Normal 57 2 2 3" xfId="3588"/>
    <cellStyle name="Normal 57 2 2 3 2" xfId="4390"/>
    <cellStyle name="Normal 57 2 2 4" xfId="3601"/>
    <cellStyle name="Normal 57 2 3" xfId="2593"/>
    <cellStyle name="Normal 57 2 3 2" xfId="2594"/>
    <cellStyle name="Normal 57 2 4" xfId="2595"/>
    <cellStyle name="Normal 57 2 4 2" xfId="2596"/>
    <cellStyle name="Normal 57 2 5" xfId="2597"/>
    <cellStyle name="Normal 57 2 5 2" xfId="4211"/>
    <cellStyle name="Normal 57 2 6" xfId="2598"/>
    <cellStyle name="Normal 57 3" xfId="2599"/>
    <cellStyle name="Normal 57 3 2" xfId="2600"/>
    <cellStyle name="Normal 57 3 2 2" xfId="2601"/>
    <cellStyle name="Normal 57 3 2 3" xfId="4212"/>
    <cellStyle name="Normal 57 3 3" xfId="2602"/>
    <cellStyle name="Normal 57 3 3 2" xfId="2603"/>
    <cellStyle name="Normal 57 3 4" xfId="2604"/>
    <cellStyle name="Normal 57 3 4 2" xfId="2605"/>
    <cellStyle name="Normal 57 3 5" xfId="2606"/>
    <cellStyle name="Normal 57 3 5 2" xfId="4213"/>
    <cellStyle name="Normal 57 3 6" xfId="2607"/>
    <cellStyle name="Normal 57 4" xfId="2608"/>
    <cellStyle name="Normal 57 4 2" xfId="2609"/>
    <cellStyle name="Normal 57 4 2 2" xfId="2610"/>
    <cellStyle name="Normal 57 4 2 3" xfId="4214"/>
    <cellStyle name="Normal 57 4 3" xfId="2611"/>
    <cellStyle name="Normal 57 4 3 2" xfId="2612"/>
    <cellStyle name="Normal 57 4 4" xfId="2613"/>
    <cellStyle name="Normal 57 4 4 2" xfId="2614"/>
    <cellStyle name="Normal 57 4 5" xfId="2615"/>
    <cellStyle name="Normal 57 4 5 2" xfId="4215"/>
    <cellStyle name="Normal 57 4 6" xfId="2616"/>
    <cellStyle name="Normal 57 5" xfId="2617"/>
    <cellStyle name="Normal 57 5 2" xfId="2618"/>
    <cellStyle name="Normal 57 5 2 2" xfId="2619"/>
    <cellStyle name="Normal 57 5 2 3" xfId="4216"/>
    <cellStyle name="Normal 57 5 3" xfId="2620"/>
    <cellStyle name="Normal 57 5 3 2" xfId="2621"/>
    <cellStyle name="Normal 57 5 4" xfId="2622"/>
    <cellStyle name="Normal 57 5 4 2" xfId="2623"/>
    <cellStyle name="Normal 57 5 5" xfId="2624"/>
    <cellStyle name="Normal 57 5 5 2" xfId="4217"/>
    <cellStyle name="Normal 57 5 6" xfId="2625"/>
    <cellStyle name="Normal 57 6" xfId="2626"/>
    <cellStyle name="Normal 57 6 2" xfId="2627"/>
    <cellStyle name="Normal 57 6 2 2" xfId="2628"/>
    <cellStyle name="Normal 57 6 2 3" xfId="4218"/>
    <cellStyle name="Normal 57 6 3" xfId="2629"/>
    <cellStyle name="Normal 57 6 3 2" xfId="2630"/>
    <cellStyle name="Normal 57 6 4" xfId="2631"/>
    <cellStyle name="Normal 57 6 4 2" xfId="2632"/>
    <cellStyle name="Normal 57 6 5" xfId="2633"/>
    <cellStyle name="Normal 57 6 5 2" xfId="4219"/>
    <cellStyle name="Normal 57 6 6" xfId="2634"/>
    <cellStyle name="Normal 57 7" xfId="2635"/>
    <cellStyle name="Normal 57 7 2" xfId="2636"/>
    <cellStyle name="Normal 57 7 3" xfId="4220"/>
    <cellStyle name="Normal 57 8" xfId="2637"/>
    <cellStyle name="Normal 57 8 2" xfId="2638"/>
    <cellStyle name="Normal 57 9" xfId="2639"/>
    <cellStyle name="Normal 57 9 2" xfId="4221"/>
    <cellStyle name="Normal 58 2" xfId="16"/>
    <cellStyle name="Normal 58 2 2" xfId="2640"/>
    <cellStyle name="Normal 58 2 3" xfId="3602"/>
    <cellStyle name="Normal 58 3" xfId="2641"/>
    <cellStyle name="Normal 58 3 2" xfId="2642"/>
    <cellStyle name="Normal 58 4" xfId="2643"/>
    <cellStyle name="Normal 58 4 2" xfId="4222"/>
    <cellStyle name="Normal 58 5" xfId="2644"/>
    <cellStyle name="Normal 59 2" xfId="17"/>
    <cellStyle name="Normal 59 2 2" xfId="2645"/>
    <cellStyle name="Normal 59 2 3" xfId="3603"/>
    <cellStyle name="Normal 59 3" xfId="2646"/>
    <cellStyle name="Normal 59 3 2" xfId="2647"/>
    <cellStyle name="Normal 59 4" xfId="2648"/>
    <cellStyle name="Normal 59 4 2" xfId="4223"/>
    <cellStyle name="Normal 59 5" xfId="2649"/>
    <cellStyle name="Normal 6" xfId="3590"/>
    <cellStyle name="Normal 6 10" xfId="2650"/>
    <cellStyle name="Normal 6 10 2" xfId="2651"/>
    <cellStyle name="Normal 6 10 3" xfId="4224"/>
    <cellStyle name="Normal 6 11" xfId="2652"/>
    <cellStyle name="Normal 6 11 2" xfId="2653"/>
    <cellStyle name="Normal 6 12" xfId="2654"/>
    <cellStyle name="Normal 6 12 2" xfId="4225"/>
    <cellStyle name="Normal 6 13" xfId="2655"/>
    <cellStyle name="Normal 6 14" xfId="4392"/>
    <cellStyle name="Normal 6 2" xfId="2656"/>
    <cellStyle name="Normal 6 2 2" xfId="2657"/>
    <cellStyle name="Normal 6 2 2 2" xfId="2658"/>
    <cellStyle name="Normal 6 2 2 3" xfId="4226"/>
    <cellStyle name="Normal 6 2 3" xfId="2659"/>
    <cellStyle name="Normal 6 2 3 2" xfId="2660"/>
    <cellStyle name="Normal 6 2 4" xfId="2661"/>
    <cellStyle name="Normal 6 2 4 2" xfId="2662"/>
    <cellStyle name="Normal 6 2 5" xfId="2663"/>
    <cellStyle name="Normal 6 2 5 2" xfId="4227"/>
    <cellStyle name="Normal 6 2 6" xfId="2664"/>
    <cellStyle name="Normal 6 3" xfId="2665"/>
    <cellStyle name="Normal 6 3 2" xfId="2666"/>
    <cellStyle name="Normal 6 3 2 2" xfId="2667"/>
    <cellStyle name="Normal 6 3 2 3" xfId="4228"/>
    <cellStyle name="Normal 6 3 3" xfId="2668"/>
    <cellStyle name="Normal 6 3 3 2" xfId="2669"/>
    <cellStyle name="Normal 6 3 4" xfId="2670"/>
    <cellStyle name="Normal 6 3 4 2" xfId="2671"/>
    <cellStyle name="Normal 6 3 5" xfId="2672"/>
    <cellStyle name="Normal 6 3 5 2" xfId="4229"/>
    <cellStyle name="Normal 6 3 6" xfId="2673"/>
    <cellStyle name="Normal 6 4" xfId="2674"/>
    <cellStyle name="Normal 6 4 2" xfId="2675"/>
    <cellStyle name="Normal 6 4 2 2" xfId="2676"/>
    <cellStyle name="Normal 6 4 2 3" xfId="4230"/>
    <cellStyle name="Normal 6 4 3" xfId="2677"/>
    <cellStyle name="Normal 6 4 3 2" xfId="2678"/>
    <cellStyle name="Normal 6 4 4" xfId="2679"/>
    <cellStyle name="Normal 6 4 4 2" xfId="2680"/>
    <cellStyle name="Normal 6 4 5" xfId="2681"/>
    <cellStyle name="Normal 6 4 5 2" xfId="4231"/>
    <cellStyle name="Normal 6 4 6" xfId="2682"/>
    <cellStyle name="Normal 6 5" xfId="2683"/>
    <cellStyle name="Normal 6 5 2" xfId="2684"/>
    <cellStyle name="Normal 6 5 2 2" xfId="2685"/>
    <cellStyle name="Normal 6 5 2 3" xfId="4232"/>
    <cellStyle name="Normal 6 5 3" xfId="2686"/>
    <cellStyle name="Normal 6 5 3 2" xfId="2687"/>
    <cellStyle name="Normal 6 5 4" xfId="2688"/>
    <cellStyle name="Normal 6 5 4 2" xfId="2689"/>
    <cellStyle name="Normal 6 5 5" xfId="2690"/>
    <cellStyle name="Normal 6 5 5 2" xfId="4233"/>
    <cellStyle name="Normal 6 5 6" xfId="2691"/>
    <cellStyle name="Normal 6 6" xfId="2692"/>
    <cellStyle name="Normal 6 6 2" xfId="2693"/>
    <cellStyle name="Normal 6 6 2 2" xfId="2694"/>
    <cellStyle name="Normal 6 6 2 3" xfId="4234"/>
    <cellStyle name="Normal 6 6 3" xfId="2695"/>
    <cellStyle name="Normal 6 6 3 2" xfId="2696"/>
    <cellStyle name="Normal 6 6 4" xfId="2697"/>
    <cellStyle name="Normal 6 6 4 2" xfId="2698"/>
    <cellStyle name="Normal 6 6 5" xfId="2699"/>
    <cellStyle name="Normal 6 6 5 2" xfId="4235"/>
    <cellStyle name="Normal 6 6 6" xfId="2700"/>
    <cellStyle name="Normal 6 7" xfId="2701"/>
    <cellStyle name="Normal 6 7 2" xfId="2702"/>
    <cellStyle name="Normal 6 7 2 2" xfId="2703"/>
    <cellStyle name="Normal 6 7 2 3" xfId="4236"/>
    <cellStyle name="Normal 6 7 3" xfId="2704"/>
    <cellStyle name="Normal 6 7 3 2" xfId="2705"/>
    <cellStyle name="Normal 6 7 4" xfId="2706"/>
    <cellStyle name="Normal 6 7 4 2" xfId="2707"/>
    <cellStyle name="Normal 6 7 5" xfId="2708"/>
    <cellStyle name="Normal 6 7 5 2" xfId="4237"/>
    <cellStyle name="Normal 6 7 6" xfId="2709"/>
    <cellStyle name="Normal 6 8" xfId="2710"/>
    <cellStyle name="Normal 6 8 10" xfId="2711"/>
    <cellStyle name="Normal 6 8 10 2" xfId="2712"/>
    <cellStyle name="Normal 6 8 10 2 2" xfId="2713"/>
    <cellStyle name="Normal 6 8 10 2 3" xfId="4238"/>
    <cellStyle name="Normal 6 8 10 3" xfId="2714"/>
    <cellStyle name="Normal 6 8 10 3 2" xfId="2715"/>
    <cellStyle name="Normal 6 8 10 4" xfId="2716"/>
    <cellStyle name="Normal 6 8 10 4 2" xfId="2717"/>
    <cellStyle name="Normal 6 8 10 5" xfId="2718"/>
    <cellStyle name="Normal 6 8 10 5 2" xfId="4239"/>
    <cellStyle name="Normal 6 8 10 6" xfId="2719"/>
    <cellStyle name="Normal 6 8 11" xfId="2720"/>
    <cellStyle name="Normal 6 8 11 2" xfId="2721"/>
    <cellStyle name="Normal 6 8 11 2 2" xfId="2722"/>
    <cellStyle name="Normal 6 8 11 2 3" xfId="4240"/>
    <cellStyle name="Normal 6 8 11 3" xfId="2723"/>
    <cellStyle name="Normal 6 8 11 3 2" xfId="2724"/>
    <cellStyle name="Normal 6 8 11 4" xfId="2725"/>
    <cellStyle name="Normal 6 8 11 4 2" xfId="2726"/>
    <cellStyle name="Normal 6 8 11 5" xfId="2727"/>
    <cellStyle name="Normal 6 8 11 5 2" xfId="4241"/>
    <cellStyle name="Normal 6 8 11 6" xfId="2728"/>
    <cellStyle name="Normal 6 8 12" xfId="2729"/>
    <cellStyle name="Normal 6 8 12 2" xfId="2730"/>
    <cellStyle name="Normal 6 8 12 2 2" xfId="2731"/>
    <cellStyle name="Normal 6 8 12 2 3" xfId="4242"/>
    <cellStyle name="Normal 6 8 12 3" xfId="2732"/>
    <cellStyle name="Normal 6 8 12 3 2" xfId="2733"/>
    <cellStyle name="Normal 6 8 12 4" xfId="2734"/>
    <cellStyle name="Normal 6 8 12 4 2" xfId="2735"/>
    <cellStyle name="Normal 6 8 12 5" xfId="2736"/>
    <cellStyle name="Normal 6 8 12 5 2" xfId="4243"/>
    <cellStyle name="Normal 6 8 12 6" xfId="2737"/>
    <cellStyle name="Normal 6 8 13" xfId="2738"/>
    <cellStyle name="Normal 6 8 13 2" xfId="2739"/>
    <cellStyle name="Normal 6 8 13 2 2" xfId="2740"/>
    <cellStyle name="Normal 6 8 13 2 3" xfId="4244"/>
    <cellStyle name="Normal 6 8 13 3" xfId="2741"/>
    <cellStyle name="Normal 6 8 13 3 2" xfId="2742"/>
    <cellStyle name="Normal 6 8 13 4" xfId="2743"/>
    <cellStyle name="Normal 6 8 13 4 2" xfId="2744"/>
    <cellStyle name="Normal 6 8 13 5" xfId="2745"/>
    <cellStyle name="Normal 6 8 13 5 2" xfId="4245"/>
    <cellStyle name="Normal 6 8 13 6" xfId="2746"/>
    <cellStyle name="Normal 6 8 14" xfId="2747"/>
    <cellStyle name="Normal 6 8 14 2" xfId="2748"/>
    <cellStyle name="Normal 6 8 14 2 2" xfId="2749"/>
    <cellStyle name="Normal 6 8 14 2 3" xfId="4246"/>
    <cellStyle name="Normal 6 8 14 3" xfId="2750"/>
    <cellStyle name="Normal 6 8 14 3 2" xfId="2751"/>
    <cellStyle name="Normal 6 8 14 4" xfId="2752"/>
    <cellStyle name="Normal 6 8 14 4 2" xfId="2753"/>
    <cellStyle name="Normal 6 8 14 5" xfId="2754"/>
    <cellStyle name="Normal 6 8 14 5 2" xfId="4247"/>
    <cellStyle name="Normal 6 8 14 6" xfId="2755"/>
    <cellStyle name="Normal 6 8 15" xfId="2756"/>
    <cellStyle name="Normal 6 8 15 2" xfId="2757"/>
    <cellStyle name="Normal 6 8 15 2 2" xfId="2758"/>
    <cellStyle name="Normal 6 8 15 2 3" xfId="4248"/>
    <cellStyle name="Normal 6 8 15 3" xfId="2759"/>
    <cellStyle name="Normal 6 8 15 3 2" xfId="2760"/>
    <cellStyle name="Normal 6 8 15 4" xfId="2761"/>
    <cellStyle name="Normal 6 8 15 4 2" xfId="2762"/>
    <cellStyle name="Normal 6 8 15 5" xfId="2763"/>
    <cellStyle name="Normal 6 8 15 5 2" xfId="4249"/>
    <cellStyle name="Normal 6 8 15 6" xfId="2764"/>
    <cellStyle name="Normal 6 8 16" xfId="2765"/>
    <cellStyle name="Normal 6 8 16 2" xfId="2766"/>
    <cellStyle name="Normal 6 8 16 2 2" xfId="2767"/>
    <cellStyle name="Normal 6 8 16 2 3" xfId="4250"/>
    <cellStyle name="Normal 6 8 16 3" xfId="2768"/>
    <cellStyle name="Normal 6 8 16 3 2" xfId="2769"/>
    <cellStyle name="Normal 6 8 16 4" xfId="2770"/>
    <cellStyle name="Normal 6 8 16 4 2" xfId="2771"/>
    <cellStyle name="Normal 6 8 16 5" xfId="2772"/>
    <cellStyle name="Normal 6 8 16 5 2" xfId="4251"/>
    <cellStyle name="Normal 6 8 16 6" xfId="2773"/>
    <cellStyle name="Normal 6 8 17" xfId="2774"/>
    <cellStyle name="Normal 6 8 17 2" xfId="2775"/>
    <cellStyle name="Normal 6 8 17 2 2" xfId="2776"/>
    <cellStyle name="Normal 6 8 17 2 3" xfId="4252"/>
    <cellStyle name="Normal 6 8 17 3" xfId="2777"/>
    <cellStyle name="Normal 6 8 17 3 2" xfId="2778"/>
    <cellStyle name="Normal 6 8 17 4" xfId="2779"/>
    <cellStyle name="Normal 6 8 17 4 2" xfId="2780"/>
    <cellStyle name="Normal 6 8 17 5" xfId="2781"/>
    <cellStyle name="Normal 6 8 17 5 2" xfId="4253"/>
    <cellStyle name="Normal 6 8 17 6" xfId="2782"/>
    <cellStyle name="Normal 6 8 18" xfId="2783"/>
    <cellStyle name="Normal 6 8 18 2" xfId="2784"/>
    <cellStyle name="Normal 6 8 18 2 2" xfId="2785"/>
    <cellStyle name="Normal 6 8 18 2 3" xfId="4254"/>
    <cellStyle name="Normal 6 8 18 3" xfId="2786"/>
    <cellStyle name="Normal 6 8 18 3 2" xfId="2787"/>
    <cellStyle name="Normal 6 8 18 4" xfId="2788"/>
    <cellStyle name="Normal 6 8 18 4 2" xfId="2789"/>
    <cellStyle name="Normal 6 8 18 5" xfId="2790"/>
    <cellStyle name="Normal 6 8 18 5 2" xfId="4255"/>
    <cellStyle name="Normal 6 8 18 6" xfId="2791"/>
    <cellStyle name="Normal 6 8 19" xfId="2792"/>
    <cellStyle name="Normal 6 8 19 2" xfId="2793"/>
    <cellStyle name="Normal 6 8 19 2 2" xfId="2794"/>
    <cellStyle name="Normal 6 8 19 2 3" xfId="4256"/>
    <cellStyle name="Normal 6 8 19 3" xfId="2795"/>
    <cellStyle name="Normal 6 8 19 3 2" xfId="2796"/>
    <cellStyle name="Normal 6 8 19 4" xfId="2797"/>
    <cellStyle name="Normal 6 8 19 4 2" xfId="2798"/>
    <cellStyle name="Normal 6 8 19 5" xfId="2799"/>
    <cellStyle name="Normal 6 8 19 5 2" xfId="4257"/>
    <cellStyle name="Normal 6 8 19 6" xfId="2800"/>
    <cellStyle name="Normal 6 8 2" xfId="2801"/>
    <cellStyle name="Normal 6 8 2 2" xfId="2802"/>
    <cellStyle name="Normal 6 8 2 2 2" xfId="2803"/>
    <cellStyle name="Normal 6 8 2 2 3" xfId="4258"/>
    <cellStyle name="Normal 6 8 2 3" xfId="2804"/>
    <cellStyle name="Normal 6 8 2 3 2" xfId="2805"/>
    <cellStyle name="Normal 6 8 2 4" xfId="2806"/>
    <cellStyle name="Normal 6 8 2 4 2" xfId="2807"/>
    <cellStyle name="Normal 6 8 2 5" xfId="2808"/>
    <cellStyle name="Normal 6 8 2 5 2" xfId="4259"/>
    <cellStyle name="Normal 6 8 2 6" xfId="2809"/>
    <cellStyle name="Normal 6 8 20" xfId="2810"/>
    <cellStyle name="Normal 6 8 20 2" xfId="2811"/>
    <cellStyle name="Normal 6 8 20 2 2" xfId="2812"/>
    <cellStyle name="Normal 6 8 20 2 3" xfId="4260"/>
    <cellStyle name="Normal 6 8 20 3" xfId="2813"/>
    <cellStyle name="Normal 6 8 20 3 2" xfId="2814"/>
    <cellStyle name="Normal 6 8 20 4" xfId="2815"/>
    <cellStyle name="Normal 6 8 20 4 2" xfId="2816"/>
    <cellStyle name="Normal 6 8 20 5" xfId="2817"/>
    <cellStyle name="Normal 6 8 20 5 2" xfId="4261"/>
    <cellStyle name="Normal 6 8 20 6" xfId="2818"/>
    <cellStyle name="Normal 6 8 21" xfId="2819"/>
    <cellStyle name="Normal 6 8 21 2" xfId="2820"/>
    <cellStyle name="Normal 6 8 21 2 2" xfId="2821"/>
    <cellStyle name="Normal 6 8 21 2 3" xfId="4262"/>
    <cellStyle name="Normal 6 8 21 3" xfId="2822"/>
    <cellStyle name="Normal 6 8 21 3 2" xfId="2823"/>
    <cellStyle name="Normal 6 8 21 4" xfId="2824"/>
    <cellStyle name="Normal 6 8 21 4 2" xfId="2825"/>
    <cellStyle name="Normal 6 8 21 5" xfId="2826"/>
    <cellStyle name="Normal 6 8 21 5 2" xfId="4263"/>
    <cellStyle name="Normal 6 8 21 6" xfId="2827"/>
    <cellStyle name="Normal 6 8 22" xfId="2828"/>
    <cellStyle name="Normal 6 8 22 2" xfId="2829"/>
    <cellStyle name="Normal 6 8 23" xfId="2830"/>
    <cellStyle name="Normal 6 8 23 2" xfId="2831"/>
    <cellStyle name="Normal 6 8 23 2 2" xfId="2832"/>
    <cellStyle name="Normal 6 8 23 3" xfId="2833"/>
    <cellStyle name="Normal 6 8 23 4" xfId="4264"/>
    <cellStyle name="Normal 6 8 24" xfId="2834"/>
    <cellStyle name="Normal 6 8 24 2" xfId="2835"/>
    <cellStyle name="Normal 6 8 24 2 2" xfId="2836"/>
    <cellStyle name="Normal 6 8 24 3" xfId="2837"/>
    <cellStyle name="Normal 6 8 25" xfId="2838"/>
    <cellStyle name="Normal 6 8 25 2" xfId="2839"/>
    <cellStyle name="Normal 6 8 26" xfId="2840"/>
    <cellStyle name="Normal 6 8 26 2" xfId="2841"/>
    <cellStyle name="Normal 6 8 27" xfId="2842"/>
    <cellStyle name="Normal 6 8 27 2" xfId="4265"/>
    <cellStyle name="Normal 6 8 28" xfId="2843"/>
    <cellStyle name="Normal 6 8 3" xfId="2844"/>
    <cellStyle name="Normal 6 8 3 2" xfId="2845"/>
    <cellStyle name="Normal 6 8 3 2 2" xfId="2846"/>
    <cellStyle name="Normal 6 8 3 2 3" xfId="4266"/>
    <cellStyle name="Normal 6 8 3 3" xfId="2847"/>
    <cellStyle name="Normal 6 8 3 3 2" xfId="2848"/>
    <cellStyle name="Normal 6 8 3 4" xfId="2849"/>
    <cellStyle name="Normal 6 8 3 4 2" xfId="2850"/>
    <cellStyle name="Normal 6 8 3 5" xfId="2851"/>
    <cellStyle name="Normal 6 8 3 5 2" xfId="4267"/>
    <cellStyle name="Normal 6 8 3 6" xfId="2852"/>
    <cellStyle name="Normal 6 8 4" xfId="2853"/>
    <cellStyle name="Normal 6 8 4 2" xfId="2854"/>
    <cellStyle name="Normal 6 8 4 2 2" xfId="2855"/>
    <cellStyle name="Normal 6 8 4 2 3" xfId="4268"/>
    <cellStyle name="Normal 6 8 4 3" xfId="2856"/>
    <cellStyle name="Normal 6 8 4 3 2" xfId="2857"/>
    <cellStyle name="Normal 6 8 4 4" xfId="2858"/>
    <cellStyle name="Normal 6 8 4 4 2" xfId="2859"/>
    <cellStyle name="Normal 6 8 4 5" xfId="2860"/>
    <cellStyle name="Normal 6 8 4 5 2" xfId="4269"/>
    <cellStyle name="Normal 6 8 4 6" xfId="2861"/>
    <cellStyle name="Normal 6 8 5" xfId="2862"/>
    <cellStyle name="Normal 6 8 5 2" xfId="2863"/>
    <cellStyle name="Normal 6 8 5 2 2" xfId="2864"/>
    <cellStyle name="Normal 6 8 5 2 3" xfId="4270"/>
    <cellStyle name="Normal 6 8 5 3" xfId="2865"/>
    <cellStyle name="Normal 6 8 5 3 2" xfId="2866"/>
    <cellStyle name="Normal 6 8 5 4" xfId="2867"/>
    <cellStyle name="Normal 6 8 5 4 2" xfId="2868"/>
    <cellStyle name="Normal 6 8 5 5" xfId="2869"/>
    <cellStyle name="Normal 6 8 5 5 2" xfId="4271"/>
    <cellStyle name="Normal 6 8 5 6" xfId="2870"/>
    <cellStyle name="Normal 6 8 6" xfId="2871"/>
    <cellStyle name="Normal 6 8 6 2" xfId="2872"/>
    <cellStyle name="Normal 6 8 6 2 2" xfId="2873"/>
    <cellStyle name="Normal 6 8 6 2 3" xfId="4272"/>
    <cellStyle name="Normal 6 8 6 3" xfId="2874"/>
    <cellStyle name="Normal 6 8 6 3 2" xfId="2875"/>
    <cellStyle name="Normal 6 8 6 4" xfId="2876"/>
    <cellStyle name="Normal 6 8 6 4 2" xfId="2877"/>
    <cellStyle name="Normal 6 8 6 5" xfId="2878"/>
    <cellStyle name="Normal 6 8 6 5 2" xfId="4273"/>
    <cellStyle name="Normal 6 8 6 6" xfId="2879"/>
    <cellStyle name="Normal 6 8 7" xfId="2880"/>
    <cellStyle name="Normal 6 8 7 2" xfId="2881"/>
    <cellStyle name="Normal 6 8 7 2 2" xfId="2882"/>
    <cellStyle name="Normal 6 8 7 2 3" xfId="4274"/>
    <cellStyle name="Normal 6 8 7 3" xfId="2883"/>
    <cellStyle name="Normal 6 8 7 3 2" xfId="2884"/>
    <cellStyle name="Normal 6 8 7 4" xfId="2885"/>
    <cellStyle name="Normal 6 8 7 4 2" xfId="2886"/>
    <cellStyle name="Normal 6 8 7 5" xfId="2887"/>
    <cellStyle name="Normal 6 8 7 5 2" xfId="4275"/>
    <cellStyle name="Normal 6 8 7 6" xfId="2888"/>
    <cellStyle name="Normal 6 8 8" xfId="2889"/>
    <cellStyle name="Normal 6 8 8 2" xfId="2890"/>
    <cellStyle name="Normal 6 8 8 2 2" xfId="2891"/>
    <cellStyle name="Normal 6 8 8 2 3" xfId="4276"/>
    <cellStyle name="Normal 6 8 8 3" xfId="2892"/>
    <cellStyle name="Normal 6 8 8 3 2" xfId="2893"/>
    <cellStyle name="Normal 6 8 8 4" xfId="2894"/>
    <cellStyle name="Normal 6 8 8 4 2" xfId="2895"/>
    <cellStyle name="Normal 6 8 8 5" xfId="2896"/>
    <cellStyle name="Normal 6 8 8 5 2" xfId="4277"/>
    <cellStyle name="Normal 6 8 8 6" xfId="2897"/>
    <cellStyle name="Normal 6 8 9" xfId="2898"/>
    <cellStyle name="Normal 6 8 9 2" xfId="2899"/>
    <cellStyle name="Normal 6 8 9 2 2" xfId="2900"/>
    <cellStyle name="Normal 6 8 9 2 3" xfId="4278"/>
    <cellStyle name="Normal 6 8 9 3" xfId="2901"/>
    <cellStyle name="Normal 6 8 9 3 2" xfId="2902"/>
    <cellStyle name="Normal 6 8 9 4" xfId="2903"/>
    <cellStyle name="Normal 6 8 9 4 2" xfId="2904"/>
    <cellStyle name="Normal 6 8 9 5" xfId="2905"/>
    <cellStyle name="Normal 6 8 9 5 2" xfId="4279"/>
    <cellStyle name="Normal 6 8 9 6" xfId="2906"/>
    <cellStyle name="Normal 6 8_Depot Productwise Sales Report  April'14" xfId="2907"/>
    <cellStyle name="Normal 6 9" xfId="2908"/>
    <cellStyle name="Normal 6 9 2" xfId="2909"/>
    <cellStyle name="Normal 6 9 2 2" xfId="2910"/>
    <cellStyle name="Normal 6 9 2 3" xfId="4280"/>
    <cellStyle name="Normal 6 9 3" xfId="2911"/>
    <cellStyle name="Normal 6 9 3 2" xfId="2912"/>
    <cellStyle name="Normal 6 9 4" xfId="2913"/>
    <cellStyle name="Normal 6 9 4 2" xfId="2914"/>
    <cellStyle name="Normal 6 9 5" xfId="2915"/>
    <cellStyle name="Normal 6 9 5 2" xfId="4281"/>
    <cellStyle name="Normal 6 9 6" xfId="2916"/>
    <cellStyle name="Normal 60 2" xfId="18"/>
    <cellStyle name="Normal 60 2 2" xfId="2917"/>
    <cellStyle name="Normal 60 2 3" xfId="3604"/>
    <cellStyle name="Normal 60 3" xfId="2918"/>
    <cellStyle name="Normal 60 3 2" xfId="2919"/>
    <cellStyle name="Normal 60 4" xfId="2920"/>
    <cellStyle name="Normal 60 4 2" xfId="4282"/>
    <cellStyle name="Normal 60 5" xfId="2921"/>
    <cellStyle name="Normal 61 2" xfId="19"/>
    <cellStyle name="Normal 61 2 2" xfId="2922"/>
    <cellStyle name="Normal 61 2 3" xfId="3605"/>
    <cellStyle name="Normal 61 3" xfId="2923"/>
    <cellStyle name="Normal 61 3 2" xfId="2924"/>
    <cellStyle name="Normal 61 4" xfId="2925"/>
    <cellStyle name="Normal 61 4 2" xfId="4283"/>
    <cellStyle name="Normal 61 5" xfId="2926"/>
    <cellStyle name="Normal 62 2" xfId="20"/>
    <cellStyle name="Normal 62 2 2" xfId="2927"/>
    <cellStyle name="Normal 62 2 3" xfId="3606"/>
    <cellStyle name="Normal 62 3" xfId="2928"/>
    <cellStyle name="Normal 62 3 2" xfId="2929"/>
    <cellStyle name="Normal 62 4" xfId="2930"/>
    <cellStyle name="Normal 62 4 2" xfId="4284"/>
    <cellStyle name="Normal 62 5" xfId="2931"/>
    <cellStyle name="Normal 63 2" xfId="12"/>
    <cellStyle name="Normal 63 2 2" xfId="2932"/>
    <cellStyle name="Normal 63 2 3" xfId="3587"/>
    <cellStyle name="Normal 63 2 3 2" xfId="4389"/>
    <cellStyle name="Normal 63 2 4" xfId="3600"/>
    <cellStyle name="Normal 63 3" xfId="2933"/>
    <cellStyle name="Normal 63 3 2" xfId="2934"/>
    <cellStyle name="Normal 63 4" xfId="2935"/>
    <cellStyle name="Normal 63 4 2" xfId="4285"/>
    <cellStyle name="Normal 63 5" xfId="2936"/>
    <cellStyle name="Normal 64 2" xfId="21"/>
    <cellStyle name="Normal 64 2 2" xfId="2937"/>
    <cellStyle name="Normal 64 2 3" xfId="3607"/>
    <cellStyle name="Normal 64 3" xfId="2938"/>
    <cellStyle name="Normal 64 3 2" xfId="2939"/>
    <cellStyle name="Normal 64 4" xfId="2940"/>
    <cellStyle name="Normal 64 4 2" xfId="4286"/>
    <cellStyle name="Normal 64 5" xfId="2941"/>
    <cellStyle name="Normal 65 2" xfId="22"/>
    <cellStyle name="Normal 65 2 2" xfId="2942"/>
    <cellStyle name="Normal 65 2 3" xfId="3608"/>
    <cellStyle name="Normal 65 3" xfId="2943"/>
    <cellStyle name="Normal 65 3 2" xfId="2944"/>
    <cellStyle name="Normal 65 4" xfId="2945"/>
    <cellStyle name="Normal 65 4 2" xfId="4287"/>
    <cellStyle name="Normal 65 5" xfId="2946"/>
    <cellStyle name="Normal 66 2" xfId="2947"/>
    <cellStyle name="Normal 66 2 2" xfId="2948"/>
    <cellStyle name="Normal 66 2 3" xfId="4288"/>
    <cellStyle name="Normal 66 3" xfId="2949"/>
    <cellStyle name="Normal 66 3 2" xfId="2950"/>
    <cellStyle name="Normal 66 4" xfId="2951"/>
    <cellStyle name="Normal 66 4 2" xfId="4289"/>
    <cellStyle name="Normal 66 5" xfId="2952"/>
    <cellStyle name="Normal 67 2" xfId="24"/>
    <cellStyle name="Normal 67 2 2" xfId="2953"/>
    <cellStyle name="Normal 67 2 3" xfId="3609"/>
    <cellStyle name="Normal 67 3" xfId="2954"/>
    <cellStyle name="Normal 67 3 2" xfId="2955"/>
    <cellStyle name="Normal 67 4" xfId="2956"/>
    <cellStyle name="Normal 67 4 2" xfId="4290"/>
    <cellStyle name="Normal 67 5" xfId="2957"/>
    <cellStyle name="Normal 68 2" xfId="25"/>
    <cellStyle name="Normal 68 2 2" xfId="2958"/>
    <cellStyle name="Normal 68 2 3" xfId="3610"/>
    <cellStyle name="Normal 68 3" xfId="2959"/>
    <cellStyle name="Normal 68 3 2" xfId="2960"/>
    <cellStyle name="Normal 68 4" xfId="2961"/>
    <cellStyle name="Normal 68 4 2" xfId="4291"/>
    <cellStyle name="Normal 68 5" xfId="2962"/>
    <cellStyle name="Normal 69 2" xfId="26"/>
    <cellStyle name="Normal 69 2 2" xfId="2963"/>
    <cellStyle name="Normal 69 2 3" xfId="3611"/>
    <cellStyle name="Normal 69 3" xfId="2964"/>
    <cellStyle name="Normal 69 3 2" xfId="2965"/>
    <cellStyle name="Normal 69 4" xfId="2966"/>
    <cellStyle name="Normal 69 4 2" xfId="4292"/>
    <cellStyle name="Normal 69 5" xfId="2967"/>
    <cellStyle name="Normal 7" xfId="3591"/>
    <cellStyle name="Normal 7 2" xfId="2968"/>
    <cellStyle name="Normal 7 2 2" xfId="2969"/>
    <cellStyle name="Normal 7 2 2 2" xfId="2970"/>
    <cellStyle name="Normal 7 2 3" xfId="2971"/>
    <cellStyle name="Normal 7 2 4" xfId="4293"/>
    <cellStyle name="Normal 7 3" xfId="2972"/>
    <cellStyle name="Normal 7 3 2" xfId="2973"/>
    <cellStyle name="Normal 7 4" xfId="2974"/>
    <cellStyle name="Normal 7 5" xfId="4393"/>
    <cellStyle name="Normal 70 2" xfId="27"/>
    <cellStyle name="Normal 70 2 2" xfId="2975"/>
    <cellStyle name="Normal 70 2 3" xfId="3612"/>
    <cellStyle name="Normal 70 3" xfId="2976"/>
    <cellStyle name="Normal 70 3 2" xfId="2977"/>
    <cellStyle name="Normal 70 4" xfId="2978"/>
    <cellStyle name="Normal 70 4 2" xfId="4294"/>
    <cellStyle name="Normal 70 5" xfId="2979"/>
    <cellStyle name="Normal 71 2" xfId="29"/>
    <cellStyle name="Normal 71 2 2" xfId="2980"/>
    <cellStyle name="Normal 71 2 3" xfId="3613"/>
    <cellStyle name="Normal 71 3" xfId="2981"/>
    <cellStyle name="Normal 71 3 2" xfId="2982"/>
    <cellStyle name="Normal 71 4" xfId="2983"/>
    <cellStyle name="Normal 71 4 2" xfId="4295"/>
    <cellStyle name="Normal 71 5" xfId="2984"/>
    <cellStyle name="Normal 72 2" xfId="2985"/>
    <cellStyle name="Normal 72 2 2" xfId="2986"/>
    <cellStyle name="Normal 72 2 3" xfId="4296"/>
    <cellStyle name="Normal 72 3" xfId="2987"/>
    <cellStyle name="Normal 72 3 2" xfId="2988"/>
    <cellStyle name="Normal 72 4" xfId="2989"/>
    <cellStyle name="Normal 72 4 2" xfId="4297"/>
    <cellStyle name="Normal 72 5" xfId="2990"/>
    <cellStyle name="Normal 73 2" xfId="2991"/>
    <cellStyle name="Normal 73 2 2" xfId="2992"/>
    <cellStyle name="Normal 73 2 3" xfId="4298"/>
    <cellStyle name="Normal 73 3" xfId="2993"/>
    <cellStyle name="Normal 73 3 2" xfId="2994"/>
    <cellStyle name="Normal 73 4" xfId="2995"/>
    <cellStyle name="Normal 73 4 2" xfId="4299"/>
    <cellStyle name="Normal 73 5" xfId="2996"/>
    <cellStyle name="Normal 74 2" xfId="2997"/>
    <cellStyle name="Normal 74 2 2" xfId="2998"/>
    <cellStyle name="Normal 74 2 3" xfId="4300"/>
    <cellStyle name="Normal 74 3" xfId="2999"/>
    <cellStyle name="Normal 74 3 2" xfId="3000"/>
    <cellStyle name="Normal 74 4" xfId="3001"/>
    <cellStyle name="Normal 74 4 2" xfId="4301"/>
    <cellStyle name="Normal 74 5" xfId="3002"/>
    <cellStyle name="Normal 75 2" xfId="3003"/>
    <cellStyle name="Normal 75 2 2" xfId="3004"/>
    <cellStyle name="Normal 75 2 3" xfId="4302"/>
    <cellStyle name="Normal 75 3" xfId="3005"/>
    <cellStyle name="Normal 75 3 2" xfId="3006"/>
    <cellStyle name="Normal 75 4" xfId="3007"/>
    <cellStyle name="Normal 75 4 2" xfId="4303"/>
    <cellStyle name="Normal 75 5" xfId="3008"/>
    <cellStyle name="Normal 76 2" xfId="3009"/>
    <cellStyle name="Normal 76 2 2" xfId="3010"/>
    <cellStyle name="Normal 76 2 3" xfId="4304"/>
    <cellStyle name="Normal 76 3" xfId="3011"/>
    <cellStyle name="Normal 76 3 2" xfId="3012"/>
    <cellStyle name="Normal 76 4" xfId="3013"/>
    <cellStyle name="Normal 76 4 2" xfId="4305"/>
    <cellStyle name="Normal 76 5" xfId="3014"/>
    <cellStyle name="Normal 77 2" xfId="3015"/>
    <cellStyle name="Normal 77 2 2" xfId="3016"/>
    <cellStyle name="Normal 77 2 3" xfId="4306"/>
    <cellStyle name="Normal 77 3" xfId="3017"/>
    <cellStyle name="Normal 77 3 2" xfId="3018"/>
    <cellStyle name="Normal 77 4" xfId="3019"/>
    <cellStyle name="Normal 77 4 2" xfId="4307"/>
    <cellStyle name="Normal 77 5" xfId="3020"/>
    <cellStyle name="Normal 78 2" xfId="3021"/>
    <cellStyle name="Normal 78 2 2" xfId="3022"/>
    <cellStyle name="Normal 78 2 3" xfId="4308"/>
    <cellStyle name="Normal 78 3" xfId="3023"/>
    <cellStyle name="Normal 78 3 2" xfId="3024"/>
    <cellStyle name="Normal 78 4" xfId="3025"/>
    <cellStyle name="Normal 78 4 2" xfId="4309"/>
    <cellStyle name="Normal 78 5" xfId="3026"/>
    <cellStyle name="Normal 79 2" xfId="3027"/>
    <cellStyle name="Normal 79 2 2" xfId="3028"/>
    <cellStyle name="Normal 79 2 3" xfId="4310"/>
    <cellStyle name="Normal 79 3" xfId="3029"/>
    <cellStyle name="Normal 79 3 2" xfId="3030"/>
    <cellStyle name="Normal 79 4" xfId="3031"/>
    <cellStyle name="Normal 79 4 2" xfId="4311"/>
    <cellStyle name="Normal 79 5" xfId="3032"/>
    <cellStyle name="Normal 8" xfId="3592"/>
    <cellStyle name="Normal 8 2" xfId="3033"/>
    <cellStyle name="Normal 8 2 2" xfId="3034"/>
    <cellStyle name="Normal 8 2 3" xfId="4312"/>
    <cellStyle name="Normal 8 3" xfId="3035"/>
    <cellStyle name="Normal 8 3 2" xfId="3036"/>
    <cellStyle name="Normal 8 4" xfId="3037"/>
    <cellStyle name="Normal 8 4 2" xfId="4313"/>
    <cellStyle name="Normal 8 5" xfId="3038"/>
    <cellStyle name="Normal 8 6" xfId="4394"/>
    <cellStyle name="Normal 80 2" xfId="3039"/>
    <cellStyle name="Normal 80 2 2" xfId="3040"/>
    <cellStyle name="Normal 80 2 3" xfId="4314"/>
    <cellStyle name="Normal 80 3" xfId="3041"/>
    <cellStyle name="Normal 80 3 2" xfId="3042"/>
    <cellStyle name="Normal 80 4" xfId="3043"/>
    <cellStyle name="Normal 80 4 2" xfId="4315"/>
    <cellStyle name="Normal 80 5" xfId="3044"/>
    <cellStyle name="Normal 81 2" xfId="3045"/>
    <cellStyle name="Normal 81 2 2" xfId="3046"/>
    <cellStyle name="Normal 81 2 3" xfId="4316"/>
    <cellStyle name="Normal 81 3" xfId="3047"/>
    <cellStyle name="Normal 81 3 2" xfId="3048"/>
    <cellStyle name="Normal 81 4" xfId="3049"/>
    <cellStyle name="Normal 81 4 2" xfId="4317"/>
    <cellStyle name="Normal 81 5" xfId="3050"/>
    <cellStyle name="Normal 82 2" xfId="3051"/>
    <cellStyle name="Normal 82 2 2" xfId="3052"/>
    <cellStyle name="Normal 82 2 3" xfId="4318"/>
    <cellStyle name="Normal 82 3" xfId="3053"/>
    <cellStyle name="Normal 82 3 2" xfId="3054"/>
    <cellStyle name="Normal 82 4" xfId="3055"/>
    <cellStyle name="Normal 82 4 2" xfId="4319"/>
    <cellStyle name="Normal 82 5" xfId="3056"/>
    <cellStyle name="Normal 83 2" xfId="3057"/>
    <cellStyle name="Normal 83 2 2" xfId="3058"/>
    <cellStyle name="Normal 83 2 3" xfId="4320"/>
    <cellStyle name="Normal 83 3" xfId="3059"/>
    <cellStyle name="Normal 83 3 2" xfId="3060"/>
    <cellStyle name="Normal 83 4" xfId="3061"/>
    <cellStyle name="Normal 83 4 2" xfId="4321"/>
    <cellStyle name="Normal 83 5" xfId="3062"/>
    <cellStyle name="Normal 84 2" xfId="3063"/>
    <cellStyle name="Normal 84 2 2" xfId="3064"/>
    <cellStyle name="Normal 84 2 3" xfId="4322"/>
    <cellStyle name="Normal 84 3" xfId="3065"/>
    <cellStyle name="Normal 84 3 2" xfId="3066"/>
    <cellStyle name="Normal 84 4" xfId="3067"/>
    <cellStyle name="Normal 84 4 2" xfId="4323"/>
    <cellStyle name="Normal 84 5" xfId="3068"/>
    <cellStyle name="Normal 85 2" xfId="3069"/>
    <cellStyle name="Normal 85 2 2" xfId="3070"/>
    <cellStyle name="Normal 85 2 2 2" xfId="3071"/>
    <cellStyle name="Normal 85 2 2 3" xfId="4324"/>
    <cellStyle name="Normal 85 2 3" xfId="3072"/>
    <cellStyle name="Normal 85 2 3 2" xfId="3073"/>
    <cellStyle name="Normal 85 2 4" xfId="3074"/>
    <cellStyle name="Normal 85 2 4 2" xfId="3075"/>
    <cellStyle name="Normal 85 2 5" xfId="3076"/>
    <cellStyle name="Normal 85 2 5 2" xfId="4325"/>
    <cellStyle name="Normal 85 2 6" xfId="3077"/>
    <cellStyle name="Normal 85 3" xfId="3078"/>
    <cellStyle name="Normal 85 3 2" xfId="3079"/>
    <cellStyle name="Normal 85 3 2 2" xfId="3080"/>
    <cellStyle name="Normal 85 3 2 3" xfId="4326"/>
    <cellStyle name="Normal 85 3 3" xfId="3081"/>
    <cellStyle name="Normal 85 3 3 2" xfId="3082"/>
    <cellStyle name="Normal 85 3 4" xfId="3083"/>
    <cellStyle name="Normal 85 3 4 2" xfId="3084"/>
    <cellStyle name="Normal 85 3 5" xfId="3085"/>
    <cellStyle name="Normal 85 3 5 2" xfId="4327"/>
    <cellStyle name="Normal 85 3 6" xfId="3086"/>
    <cellStyle name="Normal 85 4" xfId="3087"/>
    <cellStyle name="Normal 85 4 2" xfId="3088"/>
    <cellStyle name="Normal 85 4 3" xfId="4328"/>
    <cellStyle name="Normal 85 5" xfId="3089"/>
    <cellStyle name="Normal 85 5 2" xfId="3090"/>
    <cellStyle name="Normal 85 6" xfId="3091"/>
    <cellStyle name="Normal 85 6 2" xfId="4329"/>
    <cellStyle name="Normal 85 7" xfId="3092"/>
    <cellStyle name="Normal 86 2" xfId="3093"/>
    <cellStyle name="Normal 86 2 2" xfId="3094"/>
    <cellStyle name="Normal 86 2 2 2" xfId="3095"/>
    <cellStyle name="Normal 86 2 2 3" xfId="4330"/>
    <cellStyle name="Normal 86 2 3" xfId="3096"/>
    <cellStyle name="Normal 86 2 3 2" xfId="3097"/>
    <cellStyle name="Normal 86 2 4" xfId="3098"/>
    <cellStyle name="Normal 86 2 4 2" xfId="3099"/>
    <cellStyle name="Normal 86 2 5" xfId="3100"/>
    <cellStyle name="Normal 86 2 5 2" xfId="4331"/>
    <cellStyle name="Normal 86 2 6" xfId="3101"/>
    <cellStyle name="Normal 86 3" xfId="3102"/>
    <cellStyle name="Normal 86 3 2" xfId="3103"/>
    <cellStyle name="Normal 86 3 2 2" xfId="3104"/>
    <cellStyle name="Normal 86 3 2 3" xfId="4332"/>
    <cellStyle name="Normal 86 3 3" xfId="3105"/>
    <cellStyle name="Normal 86 3 3 2" xfId="3106"/>
    <cellStyle name="Normal 86 3 4" xfId="3107"/>
    <cellStyle name="Normal 86 3 4 2" xfId="3108"/>
    <cellStyle name="Normal 86 3 5" xfId="3109"/>
    <cellStyle name="Normal 86 3 5 2" xfId="4333"/>
    <cellStyle name="Normal 86 3 6" xfId="3110"/>
    <cellStyle name="Normal 86 4" xfId="3111"/>
    <cellStyle name="Normal 86 4 2" xfId="3112"/>
    <cellStyle name="Normal 86 4 3" xfId="4334"/>
    <cellStyle name="Normal 86 5" xfId="3113"/>
    <cellStyle name="Normal 86 5 2" xfId="3114"/>
    <cellStyle name="Normal 86 6" xfId="3115"/>
    <cellStyle name="Normal 86 6 2" xfId="4335"/>
    <cellStyle name="Normal 86 7" xfId="3116"/>
    <cellStyle name="Normal 87 2" xfId="3117"/>
    <cellStyle name="Normal 87 2 2" xfId="3118"/>
    <cellStyle name="Normal 87 2 2 2" xfId="3119"/>
    <cellStyle name="Normal 87 2 2 3" xfId="4336"/>
    <cellStyle name="Normal 87 2 3" xfId="3120"/>
    <cellStyle name="Normal 87 2 3 2" xfId="3121"/>
    <cellStyle name="Normal 87 2 4" xfId="3122"/>
    <cellStyle name="Normal 87 2 4 2" xfId="3123"/>
    <cellStyle name="Normal 87 2 5" xfId="3124"/>
    <cellStyle name="Normal 87 2 5 2" xfId="4337"/>
    <cellStyle name="Normal 87 2 6" xfId="3125"/>
    <cellStyle name="Normal 87 3" xfId="3126"/>
    <cellStyle name="Normal 87 3 2" xfId="3127"/>
    <cellStyle name="Normal 87 3 2 2" xfId="3128"/>
    <cellStyle name="Normal 87 3 2 3" xfId="4338"/>
    <cellStyle name="Normal 87 3 3" xfId="3129"/>
    <cellStyle name="Normal 87 3 3 2" xfId="3130"/>
    <cellStyle name="Normal 87 3 4" xfId="3131"/>
    <cellStyle name="Normal 87 3 4 2" xfId="3132"/>
    <cellStyle name="Normal 87 3 5" xfId="3133"/>
    <cellStyle name="Normal 87 3 5 2" xfId="4339"/>
    <cellStyle name="Normal 87 3 6" xfId="3134"/>
    <cellStyle name="Normal 87 4" xfId="3135"/>
    <cellStyle name="Normal 87 4 2" xfId="3136"/>
    <cellStyle name="Normal 87 4 3" xfId="4340"/>
    <cellStyle name="Normal 87 5" xfId="3137"/>
    <cellStyle name="Normal 87 5 2" xfId="3138"/>
    <cellStyle name="Normal 87 6" xfId="3139"/>
    <cellStyle name="Normal 87 6 2" xfId="4341"/>
    <cellStyle name="Normal 87 7" xfId="3140"/>
    <cellStyle name="Normal 88 2" xfId="3141"/>
    <cellStyle name="Normal 88 2 2" xfId="3142"/>
    <cellStyle name="Normal 88 2 2 2" xfId="3143"/>
    <cellStyle name="Normal 88 2 2 3" xfId="4342"/>
    <cellStyle name="Normal 88 2 3" xfId="3144"/>
    <cellStyle name="Normal 88 2 3 2" xfId="3145"/>
    <cellStyle name="Normal 88 2 4" xfId="3146"/>
    <cellStyle name="Normal 88 2 4 2" xfId="3147"/>
    <cellStyle name="Normal 88 2 5" xfId="3148"/>
    <cellStyle name="Normal 88 2 5 2" xfId="4343"/>
    <cellStyle name="Normal 88 2 6" xfId="3149"/>
    <cellStyle name="Normal 88 3" xfId="3150"/>
    <cellStyle name="Normal 88 3 2" xfId="3151"/>
    <cellStyle name="Normal 88 3 3" xfId="4344"/>
    <cellStyle name="Normal 88 4" xfId="3152"/>
    <cellStyle name="Normal 88 4 2" xfId="3153"/>
    <cellStyle name="Normal 88 5" xfId="3154"/>
    <cellStyle name="Normal 88 5 2" xfId="4345"/>
    <cellStyle name="Normal 88 6" xfId="3155"/>
    <cellStyle name="Normal 89 2" xfId="3156"/>
    <cellStyle name="Normal 89 2 2" xfId="3157"/>
    <cellStyle name="Normal 89 2 2 2" xfId="3158"/>
    <cellStyle name="Normal 89 2 2 3" xfId="4346"/>
    <cellStyle name="Normal 89 2 3" xfId="3159"/>
    <cellStyle name="Normal 89 2 3 2" xfId="3160"/>
    <cellStyle name="Normal 89 2 4" xfId="3161"/>
    <cellStyle name="Normal 89 2 4 2" xfId="3162"/>
    <cellStyle name="Normal 89 2 5" xfId="3163"/>
    <cellStyle name="Normal 89 2 5 2" xfId="4347"/>
    <cellStyle name="Normal 89 2 6" xfId="3164"/>
    <cellStyle name="Normal 89 3" xfId="3165"/>
    <cellStyle name="Normal 89 3 2" xfId="3166"/>
    <cellStyle name="Normal 89 3 3" xfId="4348"/>
    <cellStyle name="Normal 89 4" xfId="3167"/>
    <cellStyle name="Normal 89 4 2" xfId="3168"/>
    <cellStyle name="Normal 89 5" xfId="3169"/>
    <cellStyle name="Normal 89 5 2" xfId="4349"/>
    <cellStyle name="Normal 89 6" xfId="3170"/>
    <cellStyle name="Normal 9" xfId="3589"/>
    <cellStyle name="Normal 9 2" xfId="3171"/>
    <cellStyle name="Normal 9 2 2" xfId="3172"/>
    <cellStyle name="Normal 9 2 3" xfId="4350"/>
    <cellStyle name="Normal 9 3" xfId="3173"/>
    <cellStyle name="Normal 9 3 2" xfId="3174"/>
    <cellStyle name="Normal 9 4" xfId="3175"/>
    <cellStyle name="Normal 9 4 2" xfId="4351"/>
    <cellStyle name="Normal 9 5" xfId="3176"/>
    <cellStyle name="Normal 9 6" xfId="4391"/>
    <cellStyle name="Normal 90 2" xfId="3177"/>
    <cellStyle name="Normal 90 2 2" xfId="3178"/>
    <cellStyle name="Normal 90 2 3" xfId="4352"/>
    <cellStyle name="Normal 90 3" xfId="3179"/>
    <cellStyle name="Normal 90 3 2" xfId="3180"/>
    <cellStyle name="Normal 90 4" xfId="3181"/>
    <cellStyle name="Normal 90 4 2" xfId="4353"/>
    <cellStyle name="Normal 90 5" xfId="3182"/>
    <cellStyle name="Normal 91 2" xfId="3183"/>
    <cellStyle name="Normal 91 2 10" xfId="3184"/>
    <cellStyle name="Normal 91 2 2" xfId="3185"/>
    <cellStyle name="Normal 91 2 2 2" xfId="3186"/>
    <cellStyle name="Normal 91 2 3" xfId="3187"/>
    <cellStyle name="Normal 91 2 3 2" xfId="3188"/>
    <cellStyle name="Normal 91 2 3 2 2" xfId="3189"/>
    <cellStyle name="Normal 91 2 3 3" xfId="3190"/>
    <cellStyle name="Normal 91 2 4" xfId="3191"/>
    <cellStyle name="Normal 91 2 4 2" xfId="3192"/>
    <cellStyle name="Normal 91 2 4 2 2" xfId="3193"/>
    <cellStyle name="Normal 91 2 4 3" xfId="3194"/>
    <cellStyle name="Normal 91 2 5" xfId="3195"/>
    <cellStyle name="Normal 91 2 5 2" xfId="3196"/>
    <cellStyle name="Normal 91 2 5 2 2" xfId="3197"/>
    <cellStyle name="Normal 91 2 5 3" xfId="3198"/>
    <cellStyle name="Normal 91 2 6" xfId="3199"/>
    <cellStyle name="Normal 91 2 6 2" xfId="3200"/>
    <cellStyle name="Normal 91 2 7" xfId="3201"/>
    <cellStyle name="Normal 91 2 7 2" xfId="3202"/>
    <cellStyle name="Normal 91 2 8" xfId="3203"/>
    <cellStyle name="Normal 91 2 8 2" xfId="3204"/>
    <cellStyle name="Normal 91 2 9" xfId="3205"/>
    <cellStyle name="Normal 91 3" xfId="3206"/>
    <cellStyle name="Normal 91 3 2" xfId="3207"/>
    <cellStyle name="Normal 91 4" xfId="3208"/>
    <cellStyle name="Normal 91 4 2" xfId="3209"/>
    <cellStyle name="Normal 91 5" xfId="3210"/>
    <cellStyle name="Normal 91 5 2" xfId="3211"/>
    <cellStyle name="Normal 91 6" xfId="3212"/>
    <cellStyle name="Normal 91 6 2" xfId="3213"/>
    <cellStyle name="Normal 91 7" xfId="3214"/>
    <cellStyle name="Normal 91 7 2" xfId="3215"/>
    <cellStyle name="Normal 91 8" xfId="3216"/>
    <cellStyle name="Normal 91 9" xfId="3217"/>
    <cellStyle name="Normal 92 2" xfId="3218"/>
    <cellStyle name="Normal 92 2 2" xfId="3219"/>
    <cellStyle name="Normal 92 2 2 2" xfId="3220"/>
    <cellStyle name="Normal 92 2 2 3" xfId="4354"/>
    <cellStyle name="Normal 92 2 3" xfId="3221"/>
    <cellStyle name="Normal 92 2 3 2" xfId="3222"/>
    <cellStyle name="Normal 92 2 4" xfId="3223"/>
    <cellStyle name="Normal 92 2 4 2" xfId="3224"/>
    <cellStyle name="Normal 92 2 5" xfId="3225"/>
    <cellStyle name="Normal 92 2 5 2" xfId="4355"/>
    <cellStyle name="Normal 92 2 6" xfId="3226"/>
    <cellStyle name="Normal 92 3" xfId="3227"/>
    <cellStyle name="Normal 92 3 2" xfId="3228"/>
    <cellStyle name="Normal 92 3 3" xfId="4356"/>
    <cellStyle name="Normal 92 4" xfId="3229"/>
    <cellStyle name="Normal 92 4 2" xfId="3230"/>
    <cellStyle name="Normal 92 5" xfId="3231"/>
    <cellStyle name="Normal 92 5 2" xfId="4357"/>
    <cellStyle name="Normal 92 6" xfId="3232"/>
    <cellStyle name="Normal 93 2" xfId="3233"/>
    <cellStyle name="Normal 93 2 2" xfId="3234"/>
    <cellStyle name="Normal 93 2 2 2" xfId="3235"/>
    <cellStyle name="Normal 93 2 2 3" xfId="4358"/>
    <cellStyle name="Normal 93 2 3" xfId="3236"/>
    <cellStyle name="Normal 93 2 3 2" xfId="3237"/>
    <cellStyle name="Normal 93 2 4" xfId="3238"/>
    <cellStyle name="Normal 93 2 4 2" xfId="3239"/>
    <cellStyle name="Normal 93 2 5" xfId="3240"/>
    <cellStyle name="Normal 93 2 5 2" xfId="4359"/>
    <cellStyle name="Normal 93 2 6" xfId="3241"/>
    <cellStyle name="Normal 93 3" xfId="3242"/>
    <cellStyle name="Normal 93 3 2" xfId="3243"/>
    <cellStyle name="Normal 93 3 3" xfId="4360"/>
    <cellStyle name="Normal 93 4" xfId="3244"/>
    <cellStyle name="Normal 93 4 2" xfId="3245"/>
    <cellStyle name="Normal 93 5" xfId="3246"/>
    <cellStyle name="Normal 93 5 2" xfId="4361"/>
    <cellStyle name="Normal 93 6" xfId="3247"/>
    <cellStyle name="Normal 94 2" xfId="3248"/>
    <cellStyle name="Normal 94 2 2" xfId="3249"/>
    <cellStyle name="Normal 94 2 2 2" xfId="3250"/>
    <cellStyle name="Normal 94 2 2 3" xfId="4362"/>
    <cellStyle name="Normal 94 2 3" xfId="3251"/>
    <cellStyle name="Normal 94 2 3 2" xfId="3252"/>
    <cellStyle name="Normal 94 2 4" xfId="3253"/>
    <cellStyle name="Normal 94 2 4 2" xfId="3254"/>
    <cellStyle name="Normal 94 2 5" xfId="3255"/>
    <cellStyle name="Normal 94 2 5 2" xfId="4363"/>
    <cellStyle name="Normal 94 2 6" xfId="3256"/>
    <cellStyle name="Normal 94 3" xfId="3257"/>
    <cellStyle name="Normal 94 3 2" xfId="3258"/>
    <cellStyle name="Normal 94 3 3" xfId="4364"/>
    <cellStyle name="Normal 94 4" xfId="3259"/>
    <cellStyle name="Normal 94 4 2" xfId="3260"/>
    <cellStyle name="Normal 94 5" xfId="3261"/>
    <cellStyle name="Normal 94 5 2" xfId="4365"/>
    <cellStyle name="Normal 94 6" xfId="3262"/>
    <cellStyle name="Normal 95 2" xfId="3263"/>
    <cellStyle name="Normal 95 2 2" xfId="3264"/>
    <cellStyle name="Normal 95 2 2 2" xfId="3265"/>
    <cellStyle name="Normal 95 2 2 3" xfId="4366"/>
    <cellStyle name="Normal 95 2 3" xfId="3266"/>
    <cellStyle name="Normal 95 2 3 2" xfId="3267"/>
    <cellStyle name="Normal 95 2 4" xfId="3268"/>
    <cellStyle name="Normal 95 2 4 2" xfId="3269"/>
    <cellStyle name="Normal 95 2 5" xfId="3270"/>
    <cellStyle name="Normal 95 2 5 2" xfId="4367"/>
    <cellStyle name="Normal 95 2 6" xfId="3271"/>
    <cellStyle name="Normal 95 3" xfId="3272"/>
    <cellStyle name="Normal 95 3 2" xfId="3273"/>
    <cellStyle name="Normal 95 3 3" xfId="4368"/>
    <cellStyle name="Normal 95 4" xfId="3274"/>
    <cellStyle name="Normal 95 4 2" xfId="3275"/>
    <cellStyle name="Normal 95 5" xfId="3276"/>
    <cellStyle name="Normal 95 5 2" xfId="4369"/>
    <cellStyle name="Normal 95 6" xfId="3277"/>
    <cellStyle name="Normal 96 2" xfId="3278"/>
    <cellStyle name="Normal 96 2 2" xfId="3279"/>
    <cellStyle name="Normal 96 2 2 2" xfId="3280"/>
    <cellStyle name="Normal 96 2 2 3" xfId="4370"/>
    <cellStyle name="Normal 96 2 3" xfId="3281"/>
    <cellStyle name="Normal 96 2 3 2" xfId="3282"/>
    <cellStyle name="Normal 96 2 4" xfId="3283"/>
    <cellStyle name="Normal 96 2 4 2" xfId="3284"/>
    <cellStyle name="Normal 96 2 5" xfId="3285"/>
    <cellStyle name="Normal 96 2 5 2" xfId="4371"/>
    <cellStyle name="Normal 96 2 6" xfId="3286"/>
    <cellStyle name="Normal 96 3" xfId="3287"/>
    <cellStyle name="Normal 96 3 2" xfId="3288"/>
    <cellStyle name="Normal 96 3 3" xfId="4372"/>
    <cellStyle name="Normal 96 4" xfId="3289"/>
    <cellStyle name="Normal 96 4 2" xfId="3290"/>
    <cellStyle name="Normal 96 5" xfId="3291"/>
    <cellStyle name="Normal 96 5 2" xfId="4373"/>
    <cellStyle name="Normal 96 6" xfId="3292"/>
    <cellStyle name="Normal 97 2" xfId="3293"/>
    <cellStyle name="Normal 97 2 2" xfId="3294"/>
    <cellStyle name="Normal 97 2 3" xfId="4374"/>
    <cellStyle name="Normal 97 3" xfId="3295"/>
    <cellStyle name="Normal 97 3 2" xfId="3296"/>
    <cellStyle name="Normal 97 4" xfId="3297"/>
    <cellStyle name="Normal 97 4 2" xfId="4375"/>
    <cellStyle name="Normal 97 5" xfId="3298"/>
    <cellStyle name="Normal 98 2" xfId="3299"/>
    <cellStyle name="Normal 98 2 2" xfId="3300"/>
    <cellStyle name="Normal 98 2 3" xfId="4376"/>
    <cellStyle name="Normal 98 3" xfId="3301"/>
    <cellStyle name="Normal 98 3 2" xfId="3302"/>
    <cellStyle name="Normal 98 4" xfId="3303"/>
    <cellStyle name="Normal 98 4 2" xfId="4377"/>
    <cellStyle name="Normal 98 5" xfId="3304"/>
    <cellStyle name="Normal 99 2" xfId="3305"/>
    <cellStyle name="Normal 99 2 10" xfId="3306"/>
    <cellStyle name="Normal 99 2 2" xfId="3307"/>
    <cellStyle name="Normal 99 2 2 2" xfId="3308"/>
    <cellStyle name="Normal 99 2 3" xfId="3309"/>
    <cellStyle name="Normal 99 2 3 2" xfId="3310"/>
    <cellStyle name="Normal 99 2 3 2 2" xfId="3311"/>
    <cellStyle name="Normal 99 2 3 3" xfId="3312"/>
    <cellStyle name="Normal 99 2 4" xfId="3313"/>
    <cellStyle name="Normal 99 2 4 2" xfId="3314"/>
    <cellStyle name="Normal 99 2 4 2 2" xfId="3315"/>
    <cellStyle name="Normal 99 2 4 3" xfId="3316"/>
    <cellStyle name="Normal 99 2 5" xfId="3317"/>
    <cellStyle name="Normal 99 2 5 2" xfId="3318"/>
    <cellStyle name="Normal 99 2 5 2 2" xfId="3319"/>
    <cellStyle name="Normal 99 2 5 3" xfId="3320"/>
    <cellStyle name="Normal 99 2 6" xfId="3321"/>
    <cellStyle name="Normal 99 2 6 2" xfId="3322"/>
    <cellStyle name="Normal 99 2 7" xfId="3323"/>
    <cellStyle name="Normal 99 2 7 2" xfId="3324"/>
    <cellStyle name="Normal 99 2 8" xfId="3325"/>
    <cellStyle name="Normal 99 2 8 2" xfId="3326"/>
    <cellStyle name="Normal 99 2 9" xfId="3327"/>
    <cellStyle name="Normal 99 3" xfId="3328"/>
    <cellStyle name="Normal 99 3 2" xfId="3329"/>
    <cellStyle name="Normal 99 4" xfId="3330"/>
    <cellStyle name="Normal 99 4 2" xfId="3331"/>
    <cellStyle name="Normal 99 5" xfId="3332"/>
    <cellStyle name="Normal 99 5 2" xfId="3333"/>
    <cellStyle name="Normal 99 6" xfId="3334"/>
    <cellStyle name="Normal 99 6 2" xfId="3335"/>
    <cellStyle name="Normal 99 7" xfId="3336"/>
    <cellStyle name="Normal 99 7 2" xfId="3337"/>
    <cellStyle name="Normal 99 8" xfId="3338"/>
    <cellStyle name="Normal 99 9" xfId="3339"/>
    <cellStyle name="Note 10" xfId="3340"/>
    <cellStyle name="Note 2" xfId="3341"/>
    <cellStyle name="Note 2 2" xfId="3342"/>
    <cellStyle name="Note 3" xfId="3343"/>
    <cellStyle name="Note 3 10" xfId="3344"/>
    <cellStyle name="Note 3 10 2" xfId="3345"/>
    <cellStyle name="Note 3 11" xfId="3346"/>
    <cellStyle name="Note 3 11 2" xfId="3347"/>
    <cellStyle name="Note 3 12" xfId="3348"/>
    <cellStyle name="Note 3 12 2" xfId="3349"/>
    <cellStyle name="Note 3 13" xfId="3350"/>
    <cellStyle name="Note 3 13 2" xfId="3351"/>
    <cellStyle name="Note 3 14" xfId="3352"/>
    <cellStyle name="Note 3 14 2" xfId="3353"/>
    <cellStyle name="Note 3 15" xfId="3354"/>
    <cellStyle name="Note 3 15 2" xfId="3355"/>
    <cellStyle name="Note 3 16" xfId="3356"/>
    <cellStyle name="Note 3 16 2" xfId="3357"/>
    <cellStyle name="Note 3 17" xfId="3358"/>
    <cellStyle name="Note 3 17 2" xfId="3359"/>
    <cellStyle name="Note 3 2" xfId="3360"/>
    <cellStyle name="Note 3 2 2" xfId="3361"/>
    <cellStyle name="Note 3 3" xfId="3362"/>
    <cellStyle name="Note 3 3 2" xfId="3363"/>
    <cellStyle name="Note 3 4" xfId="3364"/>
    <cellStyle name="Note 3 4 2" xfId="3365"/>
    <cellStyle name="Note 3 5" xfId="3366"/>
    <cellStyle name="Note 3 5 2" xfId="3367"/>
    <cellStyle name="Note 3 6" xfId="3368"/>
    <cellStyle name="Note 3 6 2" xfId="3369"/>
    <cellStyle name="Note 3 7" xfId="3370"/>
    <cellStyle name="Note 3 7 2" xfId="3371"/>
    <cellStyle name="Note 3 8" xfId="3372"/>
    <cellStyle name="Note 3 8 2" xfId="3373"/>
    <cellStyle name="Note 3 9" xfId="3374"/>
    <cellStyle name="Note 3 9 2" xfId="3375"/>
    <cellStyle name="Note 4" xfId="3376"/>
    <cellStyle name="Note 4 2" xfId="3377"/>
    <cellStyle name="Note 5" xfId="3378"/>
    <cellStyle name="Note 5 10" xfId="3379"/>
    <cellStyle name="Note 5 10 2" xfId="3380"/>
    <cellStyle name="Note 5 11" xfId="3381"/>
    <cellStyle name="Note 5 11 2" xfId="3382"/>
    <cellStyle name="Note 5 12" xfId="3383"/>
    <cellStyle name="Note 5 12 2" xfId="3384"/>
    <cellStyle name="Note 5 13" xfId="3385"/>
    <cellStyle name="Note 5 13 2" xfId="3386"/>
    <cellStyle name="Note 5 14" xfId="3387"/>
    <cellStyle name="Note 5 14 2" xfId="3388"/>
    <cellStyle name="Note 5 15" xfId="3389"/>
    <cellStyle name="Note 5 15 2" xfId="3390"/>
    <cellStyle name="Note 5 16" xfId="3391"/>
    <cellStyle name="Note 5 16 2" xfId="3392"/>
    <cellStyle name="Note 5 17" xfId="3393"/>
    <cellStyle name="Note 5 17 2" xfId="3394"/>
    <cellStyle name="Note 5 2" xfId="3395"/>
    <cellStyle name="Note 5 2 2" xfId="3396"/>
    <cellStyle name="Note 5 3" xfId="3397"/>
    <cellStyle name="Note 5 3 2" xfId="3398"/>
    <cellStyle name="Note 5 4" xfId="3399"/>
    <cellStyle name="Note 5 4 2" xfId="3400"/>
    <cellStyle name="Note 5 5" xfId="3401"/>
    <cellStyle name="Note 5 5 2" xfId="3402"/>
    <cellStyle name="Note 5 6" xfId="3403"/>
    <cellStyle name="Note 5 6 2" xfId="3404"/>
    <cellStyle name="Note 5 7" xfId="3405"/>
    <cellStyle name="Note 5 7 2" xfId="3406"/>
    <cellStyle name="Note 5 8" xfId="3407"/>
    <cellStyle name="Note 5 8 2" xfId="3408"/>
    <cellStyle name="Note 5 9" xfId="3409"/>
    <cellStyle name="Note 5 9 2" xfId="3410"/>
    <cellStyle name="Note 6" xfId="3411"/>
    <cellStyle name="Note 6 10" xfId="3412"/>
    <cellStyle name="Note 6 10 2" xfId="3413"/>
    <cellStyle name="Note 6 11" xfId="3414"/>
    <cellStyle name="Note 6 11 2" xfId="3415"/>
    <cellStyle name="Note 6 12" xfId="3416"/>
    <cellStyle name="Note 6 12 2" xfId="3417"/>
    <cellStyle name="Note 6 13" xfId="3418"/>
    <cellStyle name="Note 6 13 2" xfId="3419"/>
    <cellStyle name="Note 6 14" xfId="3420"/>
    <cellStyle name="Note 6 14 2" xfId="3421"/>
    <cellStyle name="Note 6 15" xfId="3422"/>
    <cellStyle name="Note 6 15 2" xfId="3423"/>
    <cellStyle name="Note 6 16" xfId="3424"/>
    <cellStyle name="Note 6 16 2" xfId="3425"/>
    <cellStyle name="Note 6 17" xfId="3426"/>
    <cellStyle name="Note 6 17 2" xfId="3427"/>
    <cellStyle name="Note 6 2" xfId="3428"/>
    <cellStyle name="Note 6 2 2" xfId="3429"/>
    <cellStyle name="Note 6 3" xfId="3430"/>
    <cellStyle name="Note 6 3 2" xfId="3431"/>
    <cellStyle name="Note 6 4" xfId="3432"/>
    <cellStyle name="Note 6 4 2" xfId="3433"/>
    <cellStyle name="Note 6 5" xfId="3434"/>
    <cellStyle name="Note 6 5 2" xfId="3435"/>
    <cellStyle name="Note 6 6" xfId="3436"/>
    <cellStyle name="Note 6 6 2" xfId="3437"/>
    <cellStyle name="Note 6 7" xfId="3438"/>
    <cellStyle name="Note 6 7 2" xfId="3439"/>
    <cellStyle name="Note 6 8" xfId="3440"/>
    <cellStyle name="Note 6 8 2" xfId="3441"/>
    <cellStyle name="Note 6 9" xfId="3442"/>
    <cellStyle name="Note 6 9 2" xfId="3443"/>
    <cellStyle name="Note 7" xfId="3444"/>
    <cellStyle name="Note 8" xfId="3445"/>
    <cellStyle name="Note 8 2" xfId="3446"/>
    <cellStyle name="Note 9" xfId="3447"/>
    <cellStyle name="Output 2" xfId="3448"/>
    <cellStyle name="Output 2 2" xfId="3449"/>
    <cellStyle name="Output 2 3" xfId="4378"/>
    <cellStyle name="Output 3" xfId="3450"/>
    <cellStyle name="Output 3 2" xfId="3451"/>
    <cellStyle name="Output 4" xfId="3452"/>
    <cellStyle name="Output 4 2" xfId="4379"/>
    <cellStyle name="Output 5" xfId="3453"/>
    <cellStyle name="Percent" xfId="6" builtinId="5"/>
    <cellStyle name="Percent 2" xfId="3454"/>
    <cellStyle name="Percent 2 2" xfId="3455"/>
    <cellStyle name="Percent 2 2 10" xfId="3456"/>
    <cellStyle name="Percent 2 2 10 2" xfId="3457"/>
    <cellStyle name="Percent 2 2 11" xfId="3458"/>
    <cellStyle name="Percent 2 2 11 2" xfId="3459"/>
    <cellStyle name="Percent 2 2 12" xfId="3460"/>
    <cellStyle name="Percent 2 2 12 2" xfId="3461"/>
    <cellStyle name="Percent 2 2 13" xfId="3462"/>
    <cellStyle name="Percent 2 2 13 2" xfId="3463"/>
    <cellStyle name="Percent 2 2 14" xfId="3464"/>
    <cellStyle name="Percent 2 2 14 2" xfId="3465"/>
    <cellStyle name="Percent 2 2 15" xfId="3466"/>
    <cellStyle name="Percent 2 2 15 2" xfId="3467"/>
    <cellStyle name="Percent 2 2 16" xfId="3468"/>
    <cellStyle name="Percent 2 2 16 2" xfId="3469"/>
    <cellStyle name="Percent 2 2 17" xfId="3470"/>
    <cellStyle name="Percent 2 2 17 2" xfId="3471"/>
    <cellStyle name="Percent 2 2 2" xfId="3472"/>
    <cellStyle name="Percent 2 2 2 2" xfId="3473"/>
    <cellStyle name="Percent 2 2 3" xfId="3474"/>
    <cellStyle name="Percent 2 2 3 2" xfId="3475"/>
    <cellStyle name="Percent 2 2 4" xfId="3476"/>
    <cellStyle name="Percent 2 2 4 2" xfId="3477"/>
    <cellStyle name="Percent 2 2 5" xfId="3478"/>
    <cellStyle name="Percent 2 2 5 2" xfId="3479"/>
    <cellStyle name="Percent 2 2 6" xfId="3480"/>
    <cellStyle name="Percent 2 2 6 2" xfId="3481"/>
    <cellStyle name="Percent 2 2 7" xfId="3482"/>
    <cellStyle name="Percent 2 2 7 2" xfId="3483"/>
    <cellStyle name="Percent 2 2 8" xfId="3484"/>
    <cellStyle name="Percent 2 2 8 2" xfId="3485"/>
    <cellStyle name="Percent 2 2 9" xfId="3486"/>
    <cellStyle name="Percent 2 2 9 2" xfId="3487"/>
    <cellStyle name="Percent 2 3" xfId="3488"/>
    <cellStyle name="Percent 2 3 2" xfId="3489"/>
    <cellStyle name="Percent 2 4" xfId="3490"/>
    <cellStyle name="Percent 2 4 10" xfId="3491"/>
    <cellStyle name="Percent 2 4 10 2" xfId="3492"/>
    <cellStyle name="Percent 2 4 11" xfId="3493"/>
    <cellStyle name="Percent 2 4 11 2" xfId="3494"/>
    <cellStyle name="Percent 2 4 12" xfId="3495"/>
    <cellStyle name="Percent 2 4 12 2" xfId="3496"/>
    <cellStyle name="Percent 2 4 13" xfId="3497"/>
    <cellStyle name="Percent 2 4 13 2" xfId="3498"/>
    <cellStyle name="Percent 2 4 14" xfId="3499"/>
    <cellStyle name="Percent 2 4 14 2" xfId="3500"/>
    <cellStyle name="Percent 2 4 15" xfId="3501"/>
    <cellStyle name="Percent 2 4 15 2" xfId="3502"/>
    <cellStyle name="Percent 2 4 16" xfId="3503"/>
    <cellStyle name="Percent 2 4 16 2" xfId="3504"/>
    <cellStyle name="Percent 2 4 17" xfId="3505"/>
    <cellStyle name="Percent 2 4 17 2" xfId="3506"/>
    <cellStyle name="Percent 2 4 2" xfId="3507"/>
    <cellStyle name="Percent 2 4 2 2" xfId="3508"/>
    <cellStyle name="Percent 2 4 3" xfId="3509"/>
    <cellStyle name="Percent 2 4 3 2" xfId="3510"/>
    <cellStyle name="Percent 2 4 4" xfId="3511"/>
    <cellStyle name="Percent 2 4 4 2" xfId="3512"/>
    <cellStyle name="Percent 2 4 5" xfId="3513"/>
    <cellStyle name="Percent 2 4 5 2" xfId="3514"/>
    <cellStyle name="Percent 2 4 6" xfId="3515"/>
    <cellStyle name="Percent 2 4 6 2" xfId="3516"/>
    <cellStyle name="Percent 2 4 7" xfId="3517"/>
    <cellStyle name="Percent 2 4 7 2" xfId="3518"/>
    <cellStyle name="Percent 2 4 8" xfId="3519"/>
    <cellStyle name="Percent 2 4 8 2" xfId="3520"/>
    <cellStyle name="Percent 2 4 9" xfId="3521"/>
    <cellStyle name="Percent 2 4 9 2" xfId="3522"/>
    <cellStyle name="Percent 2 5" xfId="3523"/>
    <cellStyle name="Percent 2 5 10" xfId="3524"/>
    <cellStyle name="Percent 2 5 10 2" xfId="3525"/>
    <cellStyle name="Percent 2 5 11" xfId="3526"/>
    <cellStyle name="Percent 2 5 11 2" xfId="3527"/>
    <cellStyle name="Percent 2 5 12" xfId="3528"/>
    <cellStyle name="Percent 2 5 12 2" xfId="3529"/>
    <cellStyle name="Percent 2 5 13" xfId="3530"/>
    <cellStyle name="Percent 2 5 13 2" xfId="3531"/>
    <cellStyle name="Percent 2 5 14" xfId="3532"/>
    <cellStyle name="Percent 2 5 14 2" xfId="3533"/>
    <cellStyle name="Percent 2 5 15" xfId="3534"/>
    <cellStyle name="Percent 2 5 15 2" xfId="3535"/>
    <cellStyle name="Percent 2 5 16" xfId="3536"/>
    <cellStyle name="Percent 2 5 16 2" xfId="3537"/>
    <cellStyle name="Percent 2 5 17" xfId="3538"/>
    <cellStyle name="Percent 2 5 17 2" xfId="3539"/>
    <cellStyle name="Percent 2 5 2" xfId="3540"/>
    <cellStyle name="Percent 2 5 2 2" xfId="3541"/>
    <cellStyle name="Percent 2 5 3" xfId="3542"/>
    <cellStyle name="Percent 2 5 3 2" xfId="3543"/>
    <cellStyle name="Percent 2 5 4" xfId="3544"/>
    <cellStyle name="Percent 2 5 4 2" xfId="3545"/>
    <cellStyle name="Percent 2 5 5" xfId="3546"/>
    <cellStyle name="Percent 2 5 5 2" xfId="3547"/>
    <cellStyle name="Percent 2 5 6" xfId="3548"/>
    <cellStyle name="Percent 2 5 6 2" xfId="3549"/>
    <cellStyle name="Percent 2 5 7" xfId="3550"/>
    <cellStyle name="Percent 2 5 7 2" xfId="3551"/>
    <cellStyle name="Percent 2 5 8" xfId="3552"/>
    <cellStyle name="Percent 2 5 8 2" xfId="3553"/>
    <cellStyle name="Percent 2 5 9" xfId="3554"/>
    <cellStyle name="Percent 2 5 9 2" xfId="3555"/>
    <cellStyle name="Percent 2 6" xfId="3556"/>
    <cellStyle name="Percent 2 6 2" xfId="3557"/>
    <cellStyle name="Percent 2 7" xfId="3558"/>
    <cellStyle name="Percent 3" xfId="3559"/>
    <cellStyle name="Percent 3 2" xfId="3560"/>
    <cellStyle name="Percent 4" xfId="3561"/>
    <cellStyle name="Percent 4 2" xfId="3562"/>
    <cellStyle name="Percent 5" xfId="3563"/>
    <cellStyle name="Percent 5 2" xfId="3564"/>
    <cellStyle name="Percent 6" xfId="3596"/>
    <cellStyle name="Title 2" xfId="3565"/>
    <cellStyle name="Title 2 2" xfId="3566"/>
    <cellStyle name="Title 2 3" xfId="4380"/>
    <cellStyle name="Title 3" xfId="3567"/>
    <cellStyle name="Title 3 2" xfId="3568"/>
    <cellStyle name="Title 4" xfId="3569"/>
    <cellStyle name="Title 4 2" xfId="3570"/>
    <cellStyle name="Title 4 2 2" xfId="4381"/>
    <cellStyle name="Title 5" xfId="3571"/>
    <cellStyle name="Total 2" xfId="3572"/>
    <cellStyle name="Total 2 2" xfId="3573"/>
    <cellStyle name="Total 2 3" xfId="4382"/>
    <cellStyle name="Total 3" xfId="3574"/>
    <cellStyle name="Total 3 2" xfId="3575"/>
    <cellStyle name="Total 4" xfId="3576"/>
    <cellStyle name="Total 4 2" xfId="4383"/>
    <cellStyle name="Total 5" xfId="3577"/>
    <cellStyle name="Warning Text 2" xfId="3578"/>
    <cellStyle name="Warning Text 2 2" xfId="3579"/>
    <cellStyle name="Warning Text 2 3" xfId="4384"/>
    <cellStyle name="Warning Text 3" xfId="3580"/>
    <cellStyle name="Warning Text 3 2" xfId="3581"/>
    <cellStyle name="Warning Text 4" xfId="3582"/>
    <cellStyle name="Warning Text 4 2" xfId="4385"/>
    <cellStyle name="Warning Text 5" xfId="358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0603F-EC44-4E5C-B948-DB2C05F40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1179" y="111694"/>
          <a:ext cx="6310992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65</xdr:row>
      <xdr:rowOff>54427</xdr:rowOff>
    </xdr:from>
    <xdr:to>
      <xdr:col>25</xdr:col>
      <xdr:colOff>0</xdr:colOff>
      <xdr:row>74</xdr:row>
      <xdr:rowOff>27214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A10F755-6C05-4A0B-8C6A-F5932298E316}"/>
            </a:ext>
          </a:extLst>
        </xdr:cNvPr>
        <xdr:cNvSpPr txBox="1">
          <a:spLocks noChangeArrowheads="1"/>
        </xdr:cNvSpPr>
      </xdr:nvSpPr>
      <xdr:spPr bwMode="auto">
        <a:xfrm>
          <a:off x="12762140" y="17609002"/>
          <a:ext cx="5411560" cy="17539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65</xdr:row>
      <xdr:rowOff>54427</xdr:rowOff>
    </xdr:from>
    <xdr:to>
      <xdr:col>16</xdr:col>
      <xdr:colOff>830035</xdr:colOff>
      <xdr:row>74</xdr:row>
      <xdr:rowOff>27214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3F81416-8D6C-4E5F-A289-B5E297EFFBDE}"/>
            </a:ext>
          </a:extLst>
        </xdr:cNvPr>
        <xdr:cNvSpPr txBox="1">
          <a:spLocks noChangeArrowheads="1"/>
        </xdr:cNvSpPr>
      </xdr:nvSpPr>
      <xdr:spPr bwMode="auto">
        <a:xfrm>
          <a:off x="9424307" y="17609002"/>
          <a:ext cx="2530928" cy="17539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65</xdr:row>
      <xdr:rowOff>54427</xdr:rowOff>
    </xdr:from>
    <xdr:to>
      <xdr:col>12</xdr:col>
      <xdr:colOff>244928</xdr:colOff>
      <xdr:row>74</xdr:row>
      <xdr:rowOff>54428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E5888CA-1DAE-469C-B090-53C7EB9D0995}"/>
            </a:ext>
          </a:extLst>
        </xdr:cNvPr>
        <xdr:cNvSpPr txBox="1">
          <a:spLocks noChangeArrowheads="1"/>
        </xdr:cNvSpPr>
      </xdr:nvSpPr>
      <xdr:spPr bwMode="auto">
        <a:xfrm>
          <a:off x="3257551" y="17609002"/>
          <a:ext cx="5683702" cy="17811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65</xdr:row>
      <xdr:rowOff>54429</xdr:rowOff>
    </xdr:from>
    <xdr:to>
      <xdr:col>4</xdr:col>
      <xdr:colOff>31456</xdr:colOff>
      <xdr:row>75</xdr:row>
      <xdr:rowOff>149679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B2A4DEF9-4CD6-4C8C-AAD8-70B8AF3FF01F}"/>
            </a:ext>
          </a:extLst>
        </xdr:cNvPr>
        <xdr:cNvSpPr txBox="1">
          <a:spLocks noChangeArrowheads="1"/>
        </xdr:cNvSpPr>
      </xdr:nvSpPr>
      <xdr:spPr bwMode="auto">
        <a:xfrm>
          <a:off x="13608" y="17609004"/>
          <a:ext cx="2513398" cy="2038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55ACC-7D4A-4709-9DDE-FAFB556A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50</xdr:row>
      <xdr:rowOff>0</xdr:rowOff>
    </xdr:from>
    <xdr:to>
      <xdr:col>2</xdr:col>
      <xdr:colOff>223632</xdr:colOff>
      <xdr:row>55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1A192E9-59FE-49B4-BFC8-8270CE104115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50</xdr:row>
      <xdr:rowOff>10767</xdr:rowOff>
    </xdr:from>
    <xdr:to>
      <xdr:col>3</xdr:col>
      <xdr:colOff>1194289</xdr:colOff>
      <xdr:row>55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ADCA4FFC-45F6-4E63-853F-A27F97382880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1613453</xdr:colOff>
      <xdr:row>50</xdr:row>
      <xdr:rowOff>13251</xdr:rowOff>
    </xdr:from>
    <xdr:to>
      <xdr:col>4</xdr:col>
      <xdr:colOff>1661076</xdr:colOff>
      <xdr:row>55</xdr:row>
      <xdr:rowOff>282851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2135A45-314B-4191-953E-393524D91E4E}"/>
            </a:ext>
          </a:extLst>
        </xdr:cNvPr>
        <xdr:cNvSpPr txBox="1">
          <a:spLocks noChangeArrowheads="1"/>
        </xdr:cNvSpPr>
      </xdr:nvSpPr>
      <xdr:spPr bwMode="auto">
        <a:xfrm>
          <a:off x="3699428" y="10871751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B5136-592D-4F57-B200-21D884EF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F78EDC13-83A8-4B9F-B59D-52025384C727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832C15B-5268-4432-85AF-60C4D912BFE2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1613453</xdr:colOff>
      <xdr:row>47</xdr:row>
      <xdr:rowOff>137076</xdr:rowOff>
    </xdr:from>
    <xdr:to>
      <xdr:col>4</xdr:col>
      <xdr:colOff>1661076</xdr:colOff>
      <xdr:row>53</xdr:row>
      <xdr:rowOff>244751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DDB99C9-2700-444C-ACAB-7EDC4AAD455C}"/>
            </a:ext>
          </a:extLst>
        </xdr:cNvPr>
        <xdr:cNvSpPr txBox="1">
          <a:spLocks noChangeArrowheads="1"/>
        </xdr:cNvSpPr>
      </xdr:nvSpPr>
      <xdr:spPr bwMode="auto">
        <a:xfrm>
          <a:off x="3699428" y="10376451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4A544-CA8D-453F-8EF3-34B6A2593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EFB574F-CBF2-4B56-9C2B-D327CB5D13CD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4D77381-69E9-47CD-A68A-FB348B978BF0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7B2AE57-EA26-45A7-9ECC-F2EE66420108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40A72-F663-4906-A968-5DAB1F526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DC290728-492E-48E3-9471-69E155CA642E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A0B651DF-5E52-4488-BAB0-324A1514DA64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52DCA14-CA78-4C31-9EA5-6CC11FC8B49E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D943C-FE8C-4F07-9506-3B912BF3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9B1DCC9-B97C-4517-86CD-29BFE9CC0496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89A9F8-B1AE-41CB-80C5-BF5E7E30C745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70AD1AF2-E0DD-4D47-899E-4056932FA42B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6CF44-CBF5-43E5-96AD-59039077D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701D0A1B-3844-49BE-9128-1386B9E1DEBA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BF97D84-5B19-4B76-9E35-7DB70A80E02B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907713F-308C-4613-A089-58A007B959CB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73FEE-37F7-47EB-97AA-6114A0BF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62FC3F6-F7F9-4C64-B532-B905A4B409B0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690B338-6C9A-489F-BD2E-677604163A4F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E24F10AE-3C23-4D95-8342-8A6569C4BA4D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154AD-7EE4-4200-8F13-A70FB2E3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2B0083B-1DD4-4258-96CF-8A21C283B826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82BBA9D-5C22-4D62-8FDD-94450569177C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6CCF448-CD43-44C0-898A-D39784765B7A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548DA-269F-4182-92B2-A0DDF5663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8A3F4FB1-2650-407D-9E2D-F5C7545F495D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5A774E4-B35B-401A-9983-16419B675CDE}"/>
            </a:ext>
          </a:extLst>
        </xdr:cNvPr>
        <xdr:cNvSpPr txBox="1">
          <a:spLocks noChangeArrowheads="1"/>
        </xdr:cNvSpPr>
      </xdr:nvSpPr>
      <xdr:spPr bwMode="auto">
        <a:xfrm>
          <a:off x="1850205" y="10356382"/>
          <a:ext cx="1424930" cy="13991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CAAB183-43FF-4D67-9D43-D9953B250A28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5F5D46-9F76-419A-9115-6D4C751F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507" y="180702"/>
          <a:ext cx="2617993" cy="3079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80335D5-F410-4497-98A5-6AC1ED915301}"/>
            </a:ext>
          </a:extLst>
        </xdr:cNvPr>
        <xdr:cNvSpPr txBox="1">
          <a:spLocks noChangeArrowheads="1"/>
        </xdr:cNvSpPr>
      </xdr:nvSpPr>
      <xdr:spPr bwMode="auto">
        <a:xfrm>
          <a:off x="1" y="98583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1144240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F3A609A-7F89-4490-8F1F-9625FA84C585}"/>
            </a:ext>
          </a:extLst>
        </xdr:cNvPr>
        <xdr:cNvSpPr txBox="1">
          <a:spLocks noChangeArrowheads="1"/>
        </xdr:cNvSpPr>
      </xdr:nvSpPr>
      <xdr:spPr bwMode="auto">
        <a:xfrm>
          <a:off x="1851161" y="8864876"/>
          <a:ext cx="1380296" cy="1397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BAFC114-51EF-4A02-9967-4E55EFDB7F6C}"/>
            </a:ext>
          </a:extLst>
        </xdr:cNvPr>
        <xdr:cNvSpPr txBox="1">
          <a:spLocks noChangeArrowheads="1"/>
        </xdr:cNvSpPr>
      </xdr:nvSpPr>
      <xdr:spPr bwMode="auto">
        <a:xfrm>
          <a:off x="3718478" y="98621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8904" y="111694"/>
          <a:ext cx="6310992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65</xdr:row>
      <xdr:rowOff>54427</xdr:rowOff>
    </xdr:from>
    <xdr:to>
      <xdr:col>25</xdr:col>
      <xdr:colOff>0</xdr:colOff>
      <xdr:row>75</xdr:row>
      <xdr:rowOff>81643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361715" y="16437427"/>
          <a:ext cx="2013856" cy="19730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65</xdr:row>
      <xdr:rowOff>54427</xdr:rowOff>
    </xdr:from>
    <xdr:to>
      <xdr:col>16</xdr:col>
      <xdr:colOff>830035</xdr:colOff>
      <xdr:row>75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027964" y="16437427"/>
          <a:ext cx="2530928" cy="18913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65</xdr:row>
      <xdr:rowOff>54427</xdr:rowOff>
    </xdr:from>
    <xdr:to>
      <xdr:col>12</xdr:col>
      <xdr:colOff>244928</xdr:colOff>
      <xdr:row>75</xdr:row>
      <xdr:rowOff>13608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252108" y="16437427"/>
          <a:ext cx="2285999" cy="1905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65</xdr:row>
      <xdr:rowOff>54429</xdr:rowOff>
    </xdr:from>
    <xdr:to>
      <xdr:col>4</xdr:col>
      <xdr:colOff>31456</xdr:colOff>
      <xdr:row>76</xdr:row>
      <xdr:rowOff>95250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3608" y="16437429"/>
          <a:ext cx="2507955" cy="21499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C52CD-F5E4-4D47-A8AA-94D4F7FB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4139DD4-F9FE-468D-A598-6D81AF4D075F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5388C66-8C3B-4AEA-9387-C6A3E8C9227F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0ADD7AA-57CA-481A-BCCE-89836CB80808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7440E-328E-4E7B-8B9F-86B1089C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FA41046-7B92-4DB9-AC06-97EDA88298AC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CCD1984-6196-418A-9841-7874CDF41400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C81C7820-C2B4-45A5-9ABD-7D21593EA2FD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CA2DA-07A9-41E5-A161-9862A553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2CE198F-B9AF-487F-AF55-DB35E54051E7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AE43285-D3BB-474D-BDB9-D3CE0400E0F8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D25A7A9-85B6-4BF9-9698-3623136C9345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</xdr:row>
      <xdr:rowOff>61912</xdr:rowOff>
    </xdr:from>
    <xdr:to>
      <xdr:col>10</xdr:col>
      <xdr:colOff>411417</xdr:colOff>
      <xdr:row>5</xdr:row>
      <xdr:rowOff>17215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2C7DC-7106-429A-A70C-A82E39B4B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6559" y="223837"/>
          <a:ext cx="4576083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40822</xdr:colOff>
      <xdr:row>1</xdr:row>
      <xdr:rowOff>111538</xdr:rowOff>
    </xdr:from>
    <xdr:to>
      <xdr:col>9</xdr:col>
      <xdr:colOff>1129392</xdr:colOff>
      <xdr:row>4</xdr:row>
      <xdr:rowOff>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658F3B-F74A-4AC7-B0B3-BBD76CF8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6179" y="274824"/>
          <a:ext cx="3265713" cy="3102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281748</xdr:colOff>
      <xdr:row>1</xdr:row>
      <xdr:rowOff>97931</xdr:rowOff>
    </xdr:from>
    <xdr:to>
      <xdr:col>10</xdr:col>
      <xdr:colOff>767604</xdr:colOff>
      <xdr:row>5</xdr:row>
      <xdr:rowOff>53234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59FB8E-0023-45E3-BC32-FFC09F41D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69284" y="261217"/>
          <a:ext cx="5003427" cy="485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</xdr:row>
      <xdr:rowOff>61912</xdr:rowOff>
    </xdr:from>
    <xdr:to>
      <xdr:col>8</xdr:col>
      <xdr:colOff>411417</xdr:colOff>
      <xdr:row>5</xdr:row>
      <xdr:rowOff>17215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4C798-ED38-429D-AAAA-B0AA3481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6559" y="218794"/>
          <a:ext cx="4591211" cy="481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8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D5A1C-DDA3-482E-8C1B-280B350F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26</xdr:row>
      <xdr:rowOff>82833</xdr:rowOff>
    </xdr:from>
    <xdr:to>
      <xdr:col>2</xdr:col>
      <xdr:colOff>521802</xdr:colOff>
      <xdr:row>33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C735E38-C0F0-4B9D-B3B3-F22F6523C3F0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496954</xdr:colOff>
      <xdr:row>26</xdr:row>
      <xdr:rowOff>60470</xdr:rowOff>
    </xdr:from>
    <xdr:to>
      <xdr:col>7</xdr:col>
      <xdr:colOff>157368</xdr:colOff>
      <xdr:row>32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EB0FD89-6F42-4642-BBA8-16B4AEAEF300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215345</xdr:colOff>
      <xdr:row>26</xdr:row>
      <xdr:rowOff>66268</xdr:rowOff>
    </xdr:from>
    <xdr:to>
      <xdr:col>9</xdr:col>
      <xdr:colOff>1101169</xdr:colOff>
      <xdr:row>32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558BB96-7911-4C27-8668-172BEB89E482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9DED-4114-448C-B346-97D7E51CD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FE2C6F8-8DF7-41E2-A5D4-6D557B479DFA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369D159-A9CE-4850-840D-7628DDA9536F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2E3F7AC-3137-40FE-BB28-F5BFC9DF888F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362B1-8299-4E95-8750-B9E837373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14F4A5D-80FC-4A27-90BC-526D8A752083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437B460-9BA0-4D15-8C7B-8D742A38C14A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C51A60F-8A08-4353-880D-7C3888553DF3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8904" y="111694"/>
          <a:ext cx="7044417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63</xdr:row>
      <xdr:rowOff>54427</xdr:rowOff>
    </xdr:from>
    <xdr:to>
      <xdr:col>25</xdr:col>
      <xdr:colOff>0</xdr:colOff>
      <xdr:row>72</xdr:row>
      <xdr:rowOff>27214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343290" y="17066077"/>
          <a:ext cx="6259285" cy="18301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63</xdr:row>
      <xdr:rowOff>54427</xdr:rowOff>
    </xdr:from>
    <xdr:to>
      <xdr:col>16</xdr:col>
      <xdr:colOff>830035</xdr:colOff>
      <xdr:row>72</xdr:row>
      <xdr:rowOff>27214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0272032" y="17066077"/>
          <a:ext cx="3264353" cy="18301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63</xdr:row>
      <xdr:rowOff>54427</xdr:rowOff>
    </xdr:from>
    <xdr:to>
      <xdr:col>12</xdr:col>
      <xdr:colOff>244928</xdr:colOff>
      <xdr:row>72</xdr:row>
      <xdr:rowOff>54428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3257551" y="17066077"/>
          <a:ext cx="6531427" cy="1857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63</xdr:row>
      <xdr:rowOff>54429</xdr:rowOff>
    </xdr:from>
    <xdr:to>
      <xdr:col>4</xdr:col>
      <xdr:colOff>31456</xdr:colOff>
      <xdr:row>73</xdr:row>
      <xdr:rowOff>149679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3608" y="17066079"/>
          <a:ext cx="2513398" cy="2114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127A0-1687-4A41-BF30-074178A90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782" y="213992"/>
          <a:ext cx="4013826" cy="485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B57B56B4-A56A-4025-8508-19278DDD9B72}"/>
            </a:ext>
          </a:extLst>
        </xdr:cNvPr>
        <xdr:cNvSpPr txBox="1">
          <a:spLocks noChangeArrowheads="1"/>
        </xdr:cNvSpPr>
      </xdr:nvSpPr>
      <xdr:spPr bwMode="auto">
        <a:xfrm>
          <a:off x="115955" y="6274083"/>
          <a:ext cx="1943454" cy="15772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33FD9CD-B03F-4D0D-9469-22B9A9F8F4B0}"/>
            </a:ext>
          </a:extLst>
        </xdr:cNvPr>
        <xdr:cNvSpPr txBox="1">
          <a:spLocks noChangeArrowheads="1"/>
        </xdr:cNvSpPr>
      </xdr:nvSpPr>
      <xdr:spPr bwMode="auto">
        <a:xfrm>
          <a:off x="3068704" y="602312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28ED0F6-FE13-48BE-A8B9-4315D0B4B5DE}"/>
            </a:ext>
          </a:extLst>
        </xdr:cNvPr>
        <xdr:cNvSpPr txBox="1">
          <a:spLocks noChangeArrowheads="1"/>
        </xdr:cNvSpPr>
      </xdr:nvSpPr>
      <xdr:spPr bwMode="auto">
        <a:xfrm>
          <a:off x="6206570" y="602891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711616</xdr:colOff>
      <xdr:row>0</xdr:row>
      <xdr:rowOff>73029</xdr:rowOff>
    </xdr:from>
    <xdr:to>
      <xdr:col>4</xdr:col>
      <xdr:colOff>424069</xdr:colOff>
      <xdr:row>2</xdr:row>
      <xdr:rowOff>114867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2FD16-54AD-40E6-9A61-4CA12E69B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7659" y="73029"/>
          <a:ext cx="2793584" cy="373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45</xdr:row>
      <xdr:rowOff>0</xdr:rowOff>
    </xdr:from>
    <xdr:to>
      <xdr:col>2</xdr:col>
      <xdr:colOff>223632</xdr:colOff>
      <xdr:row>50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269E836-3313-4278-830F-83822D8CDDBC}"/>
            </a:ext>
          </a:extLst>
        </xdr:cNvPr>
        <xdr:cNvSpPr txBox="1">
          <a:spLocks noChangeArrowheads="1"/>
        </xdr:cNvSpPr>
      </xdr:nvSpPr>
      <xdr:spPr bwMode="auto">
        <a:xfrm>
          <a:off x="1" y="98583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368576</xdr:colOff>
      <xdr:row>45</xdr:row>
      <xdr:rowOff>10767</xdr:rowOff>
    </xdr:from>
    <xdr:to>
      <xdr:col>3</xdr:col>
      <xdr:colOff>1193938</xdr:colOff>
      <xdr:row>50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7EF3787-683C-43CF-B480-A84B52E043D1}"/>
            </a:ext>
          </a:extLst>
        </xdr:cNvPr>
        <xdr:cNvSpPr txBox="1">
          <a:spLocks noChangeArrowheads="1"/>
        </xdr:cNvSpPr>
      </xdr:nvSpPr>
      <xdr:spPr bwMode="auto">
        <a:xfrm>
          <a:off x="1902101" y="9869142"/>
          <a:ext cx="1377812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44</xdr:row>
      <xdr:rowOff>165651</xdr:rowOff>
    </xdr:from>
    <xdr:to>
      <xdr:col>4</xdr:col>
      <xdr:colOff>1689651</xdr:colOff>
      <xdr:row>50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E7AB1CF-A370-430F-8DD2-7E90040AA806}"/>
            </a:ext>
          </a:extLst>
        </xdr:cNvPr>
        <xdr:cNvSpPr txBox="1">
          <a:spLocks noChangeArrowheads="1"/>
        </xdr:cNvSpPr>
      </xdr:nvSpPr>
      <xdr:spPr bwMode="auto">
        <a:xfrm>
          <a:off x="3718478" y="98621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4C08C-7A3C-4EF1-AD3D-183D86CA8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45</xdr:row>
      <xdr:rowOff>0</xdr:rowOff>
    </xdr:from>
    <xdr:to>
      <xdr:col>2</xdr:col>
      <xdr:colOff>223632</xdr:colOff>
      <xdr:row>50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D44BB55-A9B1-48B4-A7EB-D57975CBEFFB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45</xdr:row>
      <xdr:rowOff>10767</xdr:rowOff>
    </xdr:from>
    <xdr:to>
      <xdr:col>3</xdr:col>
      <xdr:colOff>1374913</xdr:colOff>
      <xdr:row>50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68B6DEB-F4A7-47A8-AF2B-0776FFB32CB2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44</xdr:row>
      <xdr:rowOff>165651</xdr:rowOff>
    </xdr:from>
    <xdr:to>
      <xdr:col>4</xdr:col>
      <xdr:colOff>1689651</xdr:colOff>
      <xdr:row>50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C2E5469-341C-4887-A8D6-03426A9B20AB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3983A-4429-445C-B367-BDC17321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DAC8C769-CABC-4197-9BCC-CD9A87A4585E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B72C8AA-68B5-42D3-842E-44F4CBB195D4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3BAF222-1121-4C9C-9018-AE2280C3E203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74D23-5561-40AB-BAD7-E4B1FC6B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522FE8B-633F-4A98-917E-C447E64FDB3B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DDB8236-DA1E-4B49-847F-52D427306C81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EB9FBCC-32E4-4F5D-B03A-7BB4F896C14E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0351" y="64747"/>
          <a:ext cx="3381649" cy="373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" y="10924761"/>
          <a:ext cx="1755914" cy="1391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110409" y="10935528"/>
          <a:ext cx="1939787" cy="1397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307786" y="10924760"/>
          <a:ext cx="1697104" cy="13997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BE33E-A80D-4366-BC25-E688863E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8EBE8F0-7C57-4383-9082-EE524A1E7645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B7A3BCA-243D-4054-BCEB-E235A96135F2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1B5AF5C-75F5-4E91-953A-F805B509CA9A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D6F2CC-06FF-4F3E-889D-1AB5EC70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E5279-3A0A-4E67-A377-FDAA2654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A050539-FF1C-447B-AD10-15AC4E5D052C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C7B9E0C-431C-4A6B-8371-4D6A6762E815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A3E037A-C69B-4B47-A42A-8E86484E1BCF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3405A-75FE-4482-B726-A16846A6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6AC3BD3-21E0-403D-88F2-A0D4391E98D5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73E663F5-F418-4D55-A747-A7200C5EC39B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9DA0EB5-82DD-4289-9AE1-EFD0E003B0B9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12F067-FD92-45B7-BBAF-A125B85D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D2171DD-D223-4100-8082-4748F9087632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6A674C0-9163-4C33-9E32-6EF7A62E8FF2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CCFB7B3-40D8-45E5-954F-CF73C9FBA0E9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653BA-3BFB-4742-B778-154E7488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982427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51</xdr:row>
      <xdr:rowOff>19050</xdr:rowOff>
    </xdr:from>
    <xdr:to>
      <xdr:col>2</xdr:col>
      <xdr:colOff>223632</xdr:colOff>
      <xdr:row>56</xdr:row>
      <xdr:rowOff>284093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B9AAE619-2000-42B1-A50D-0BF09EF7EDF5}"/>
            </a:ext>
          </a:extLst>
        </xdr:cNvPr>
        <xdr:cNvSpPr txBox="1">
          <a:spLocks noChangeArrowheads="1"/>
        </xdr:cNvSpPr>
      </xdr:nvSpPr>
      <xdr:spPr bwMode="auto">
        <a:xfrm>
          <a:off x="1" y="1087755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+mj-lt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3</xdr:col>
      <xdr:colOff>680828</xdr:colOff>
      <xdr:row>51</xdr:row>
      <xdr:rowOff>10767</xdr:rowOff>
    </xdr:from>
    <xdr:to>
      <xdr:col>4</xdr:col>
      <xdr:colOff>727564</xdr:colOff>
      <xdr:row>56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38E7562-D146-493E-9781-A4F2C1EE58C2}"/>
            </a:ext>
          </a:extLst>
        </xdr:cNvPr>
        <xdr:cNvSpPr txBox="1">
          <a:spLocks noChangeArrowheads="1"/>
        </xdr:cNvSpPr>
      </xdr:nvSpPr>
      <xdr:spPr bwMode="auto">
        <a:xfrm>
          <a:off x="2862053" y="10869267"/>
          <a:ext cx="194221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4</xdr:col>
      <xdr:colOff>285751</xdr:colOff>
      <xdr:row>51</xdr:row>
      <xdr:rowOff>3726</xdr:rowOff>
    </xdr:from>
    <xdr:to>
      <xdr:col>5</xdr:col>
      <xdr:colOff>66675</xdr:colOff>
      <xdr:row>56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61550BB-1A47-45D1-B5EE-90116C1AE340}"/>
            </a:ext>
          </a:extLst>
        </xdr:cNvPr>
        <xdr:cNvSpPr txBox="1">
          <a:spLocks noChangeArrowheads="1"/>
        </xdr:cNvSpPr>
      </xdr:nvSpPr>
      <xdr:spPr bwMode="auto">
        <a:xfrm>
          <a:off x="4362451" y="10862226"/>
          <a:ext cx="1762124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1</xdr:col>
      <xdr:colOff>742950</xdr:colOff>
      <xdr:row>51</xdr:row>
      <xdr:rowOff>9525</xdr:rowOff>
    </xdr:from>
    <xdr:to>
      <xdr:col>3</xdr:col>
      <xdr:colOff>571500</xdr:colOff>
      <xdr:row>56</xdr:row>
      <xdr:rowOff>280366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A34F86F7-3DCF-473D-ACBD-C31589D173F9}"/>
            </a:ext>
          </a:extLst>
        </xdr:cNvPr>
        <xdr:cNvSpPr txBox="1">
          <a:spLocks noChangeArrowheads="1"/>
        </xdr:cNvSpPr>
      </xdr:nvSpPr>
      <xdr:spPr bwMode="auto">
        <a:xfrm>
          <a:off x="1390650" y="10868025"/>
          <a:ext cx="1362075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Forwadred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AGM,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FD19A-8C8D-4505-BA87-B6D23665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50</xdr:row>
      <xdr:rowOff>19050</xdr:rowOff>
    </xdr:from>
    <xdr:to>
      <xdr:col>2</xdr:col>
      <xdr:colOff>223632</xdr:colOff>
      <xdr:row>55</xdr:row>
      <xdr:rowOff>284093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BAC0F83C-F6C3-49FE-955F-546AFD9A208C}"/>
            </a:ext>
          </a:extLst>
        </xdr:cNvPr>
        <xdr:cNvSpPr txBox="1">
          <a:spLocks noChangeArrowheads="1"/>
        </xdr:cNvSpPr>
      </xdr:nvSpPr>
      <xdr:spPr bwMode="auto">
        <a:xfrm>
          <a:off x="1" y="1087755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+mj-lt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3</xdr:col>
      <xdr:colOff>680828</xdr:colOff>
      <xdr:row>50</xdr:row>
      <xdr:rowOff>10767</xdr:rowOff>
    </xdr:from>
    <xdr:to>
      <xdr:col>4</xdr:col>
      <xdr:colOff>727564</xdr:colOff>
      <xdr:row>55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97D6B37-DBDF-4BD2-A017-3B67089E654D}"/>
            </a:ext>
          </a:extLst>
        </xdr:cNvPr>
        <xdr:cNvSpPr txBox="1">
          <a:spLocks noChangeArrowheads="1"/>
        </xdr:cNvSpPr>
      </xdr:nvSpPr>
      <xdr:spPr bwMode="auto">
        <a:xfrm>
          <a:off x="2862053" y="10869267"/>
          <a:ext cx="194221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4</xdr:col>
      <xdr:colOff>285751</xdr:colOff>
      <xdr:row>50</xdr:row>
      <xdr:rowOff>3726</xdr:rowOff>
    </xdr:from>
    <xdr:to>
      <xdr:col>5</xdr:col>
      <xdr:colOff>66675</xdr:colOff>
      <xdr:row>55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F4BCA9D-25B7-43DB-AD46-E9FBC557AB5F}"/>
            </a:ext>
          </a:extLst>
        </xdr:cNvPr>
        <xdr:cNvSpPr txBox="1">
          <a:spLocks noChangeArrowheads="1"/>
        </xdr:cNvSpPr>
      </xdr:nvSpPr>
      <xdr:spPr bwMode="auto">
        <a:xfrm>
          <a:off x="4362451" y="10862226"/>
          <a:ext cx="1762124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1</xdr:col>
      <xdr:colOff>742950</xdr:colOff>
      <xdr:row>50</xdr:row>
      <xdr:rowOff>9525</xdr:rowOff>
    </xdr:from>
    <xdr:to>
      <xdr:col>3</xdr:col>
      <xdr:colOff>571500</xdr:colOff>
      <xdr:row>55</xdr:row>
      <xdr:rowOff>280366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EFFD8184-A6B6-4318-A2B2-AA7851D9F335}"/>
            </a:ext>
          </a:extLst>
        </xdr:cNvPr>
        <xdr:cNvSpPr txBox="1">
          <a:spLocks noChangeArrowheads="1"/>
        </xdr:cNvSpPr>
      </xdr:nvSpPr>
      <xdr:spPr bwMode="auto">
        <a:xfrm>
          <a:off x="1390650" y="10868025"/>
          <a:ext cx="1362075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Forwadred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AGM,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Files\Desktop\CM%20Nov'22\National%20Target_Product%20Sep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Target June'22 35.5 (2)"/>
      <sheetName val="Product Target Aug'22 (2)"/>
      <sheetName val="Product Target Sep'22 F (2)"/>
      <sheetName val="Product Target Sep'22 F"/>
      <sheetName val="Product Target Sep'22"/>
      <sheetName val="Product Target Aug'22"/>
      <sheetName val="Product Target June'22 35 Cr."/>
      <sheetName val="National Target Share"/>
    </sheetNames>
    <sheetDataSet>
      <sheetData sheetId="0"/>
      <sheetData sheetId="1"/>
      <sheetData sheetId="2">
        <row r="59">
          <cell r="Y59">
            <v>3799.3742197999995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zoomScale="70" zoomScaleNormal="70" zoomScaleSheetLayoutView="70" workbookViewId="0">
      <pane ySplit="8" topLeftCell="A9" activePane="bottomLeft" state="frozen"/>
      <selection pane="bottomLeft" activeCell="G1" sqref="G1:G1048576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6" width="12.6640625" style="53" hidden="1" customWidth="1"/>
    <col min="7" max="7" width="12.6640625" style="53" customWidth="1"/>
    <col min="8" max="11" width="12.6640625" style="6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19" width="12.6640625" style="53" hidden="1" customWidth="1"/>
    <col min="20" max="24" width="12.6640625" style="53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253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175" t="s">
        <v>236</v>
      </c>
      <c r="G8" s="175" t="s">
        <v>245</v>
      </c>
      <c r="H8" s="67" t="s">
        <v>248</v>
      </c>
      <c r="I8" s="175" t="s">
        <v>255</v>
      </c>
      <c r="J8" s="175" t="s">
        <v>228</v>
      </c>
      <c r="K8" s="175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175" t="s">
        <v>236</v>
      </c>
      <c r="T8" s="175" t="s">
        <v>245</v>
      </c>
      <c r="U8" s="67" t="s">
        <v>248</v>
      </c>
      <c r="V8" s="175" t="s">
        <v>255</v>
      </c>
      <c r="W8" s="175" t="s">
        <v>228</v>
      </c>
      <c r="X8" s="175" t="s">
        <v>229</v>
      </c>
      <c r="Y8" s="67" t="s">
        <v>119</v>
      </c>
    </row>
    <row r="9" spans="1:26" s="55" customFormat="1" ht="2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65000</v>
      </c>
      <c r="I9" s="129">
        <v>52108</v>
      </c>
      <c r="J9" s="129">
        <v>4620</v>
      </c>
      <c r="K9" s="129">
        <v>58764</v>
      </c>
      <c r="L9" s="129">
        <f>E9*H9/1000</f>
        <v>36544.300000000003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3200</v>
      </c>
      <c r="T9" s="129">
        <v>3500</v>
      </c>
      <c r="U9" s="129">
        <v>3500</v>
      </c>
      <c r="V9" s="129">
        <v>2737</v>
      </c>
      <c r="W9" s="129">
        <v>463</v>
      </c>
      <c r="X9" s="129">
        <v>2706</v>
      </c>
      <c r="Y9" s="129">
        <f>R9*U9/1000</f>
        <v>658.03499999999997</v>
      </c>
    </row>
    <row r="10" spans="1:26" s="55" customFormat="1" ht="2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35000</v>
      </c>
      <c r="H10" s="176">
        <v>36000</v>
      </c>
      <c r="I10" s="129">
        <v>28890</v>
      </c>
      <c r="J10" s="129">
        <v>4182</v>
      </c>
      <c r="K10" s="129">
        <v>31034</v>
      </c>
      <c r="L10" s="129">
        <f t="shared" ref="L10:L28" si="0">E10*H10/1000</f>
        <v>13493.16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50000</v>
      </c>
      <c r="T10" s="129">
        <v>55000</v>
      </c>
      <c r="U10" s="176">
        <v>50000</v>
      </c>
      <c r="V10" s="129">
        <v>32800</v>
      </c>
      <c r="W10" s="129">
        <v>30</v>
      </c>
      <c r="X10" s="129">
        <v>32695</v>
      </c>
      <c r="Y10" s="129">
        <f t="shared" ref="Y10:Y34" si="1">R10*U10/1000</f>
        <v>9760.9999999999982</v>
      </c>
    </row>
    <row r="11" spans="1:26" s="55" customFormat="1" ht="2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42000</v>
      </c>
      <c r="H11" s="129">
        <v>42000</v>
      </c>
      <c r="I11" s="129">
        <v>32818</v>
      </c>
      <c r="J11" s="129">
        <v>4784</v>
      </c>
      <c r="K11" s="129">
        <v>34395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366</v>
      </c>
      <c r="W11" s="129">
        <v>59</v>
      </c>
      <c r="X11" s="129">
        <v>346</v>
      </c>
      <c r="Y11" s="129">
        <f t="shared" si="1"/>
        <v>247.38</v>
      </c>
    </row>
    <row r="12" spans="1:26" s="55" customFormat="1" ht="2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60000</v>
      </c>
      <c r="G12" s="129">
        <v>64000</v>
      </c>
      <c r="H12" s="129">
        <v>64000</v>
      </c>
      <c r="I12" s="129">
        <v>52300</v>
      </c>
      <c r="J12" s="129">
        <v>7084</v>
      </c>
      <c r="K12" s="129">
        <v>56237</v>
      </c>
      <c r="L12" s="129">
        <f t="shared" si="0"/>
        <v>31664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12000</v>
      </c>
      <c r="T12" s="129">
        <v>12000</v>
      </c>
      <c r="U12" s="129">
        <v>12000</v>
      </c>
      <c r="V12" s="129">
        <v>8976</v>
      </c>
      <c r="W12" s="129">
        <v>2194</v>
      </c>
      <c r="X12" s="129">
        <v>7944</v>
      </c>
      <c r="Y12" s="129">
        <f>R12*U12/1000</f>
        <v>1709.16</v>
      </c>
    </row>
    <row r="13" spans="1:26" s="55" customFormat="1" ht="2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70000</v>
      </c>
      <c r="G13" s="129">
        <v>75000</v>
      </c>
      <c r="H13" s="129">
        <v>75000</v>
      </c>
      <c r="I13" s="129">
        <v>62228</v>
      </c>
      <c r="J13" s="129">
        <v>9281</v>
      </c>
      <c r="K13" s="129">
        <v>65591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6500</v>
      </c>
      <c r="T13" s="129">
        <v>7000</v>
      </c>
      <c r="U13" s="129">
        <v>7000</v>
      </c>
      <c r="V13" s="129">
        <v>6420</v>
      </c>
      <c r="W13" s="129">
        <v>1248</v>
      </c>
      <c r="X13" s="129">
        <v>5906</v>
      </c>
      <c r="Y13" s="129">
        <f t="shared" si="1"/>
        <v>1579.48</v>
      </c>
    </row>
    <row r="14" spans="1:26" s="55" customFormat="1" ht="2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34000</v>
      </c>
      <c r="G14" s="129">
        <v>35000</v>
      </c>
      <c r="H14" s="129">
        <v>35000</v>
      </c>
      <c r="I14" s="129">
        <v>28633</v>
      </c>
      <c r="J14" s="129">
        <v>4132</v>
      </c>
      <c r="K14" s="129">
        <v>29830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11000</v>
      </c>
      <c r="T14" s="129">
        <v>12000</v>
      </c>
      <c r="U14" s="129">
        <v>12000</v>
      </c>
      <c r="V14" s="129">
        <v>7809</v>
      </c>
      <c r="W14" s="129">
        <v>930</v>
      </c>
      <c r="X14" s="129">
        <v>8252</v>
      </c>
      <c r="Y14" s="129">
        <f t="shared" si="1"/>
        <v>4497.72</v>
      </c>
      <c r="Z14" s="55" t="s">
        <v>138</v>
      </c>
    </row>
    <row r="15" spans="1:26" s="55" customFormat="1" ht="2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100000</v>
      </c>
      <c r="G15" s="129">
        <v>105000</v>
      </c>
      <c r="H15" s="129">
        <v>105000</v>
      </c>
      <c r="I15" s="129">
        <v>77759</v>
      </c>
      <c r="J15" s="129">
        <v>9014</v>
      </c>
      <c r="K15" s="129">
        <v>84556</v>
      </c>
      <c r="L15" s="129">
        <f t="shared" si="0"/>
        <v>47226.9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36000</v>
      </c>
      <c r="T15" s="129">
        <v>37000</v>
      </c>
      <c r="U15" s="176">
        <v>35000</v>
      </c>
      <c r="V15" s="129">
        <v>26285</v>
      </c>
      <c r="W15" s="129">
        <v>-503</v>
      </c>
      <c r="X15" s="129">
        <v>30719</v>
      </c>
      <c r="Y15" s="129">
        <f t="shared" si="1"/>
        <v>2623.6</v>
      </c>
    </row>
    <row r="16" spans="1:26" s="55" customFormat="1" ht="2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32000</v>
      </c>
      <c r="G16" s="129">
        <v>35000</v>
      </c>
      <c r="H16" s="129">
        <v>35000</v>
      </c>
      <c r="I16" s="129">
        <v>28842</v>
      </c>
      <c r="J16" s="129">
        <v>5729</v>
      </c>
      <c r="K16" s="129">
        <v>27216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2000</v>
      </c>
      <c r="T16" s="129">
        <v>2000</v>
      </c>
      <c r="U16" s="129">
        <v>2000</v>
      </c>
      <c r="V16" s="129">
        <v>1428</v>
      </c>
      <c r="W16" s="129">
        <v>275</v>
      </c>
      <c r="X16" s="129">
        <v>1335</v>
      </c>
      <c r="Y16" s="129">
        <f t="shared" si="1"/>
        <v>112.44</v>
      </c>
    </row>
    <row r="17" spans="1:25" s="55" customFormat="1" ht="2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35000</v>
      </c>
      <c r="G17" s="129">
        <v>40000</v>
      </c>
      <c r="H17" s="176">
        <v>38000</v>
      </c>
      <c r="I17" s="129">
        <v>21156</v>
      </c>
      <c r="J17" s="129">
        <v>1311</v>
      </c>
      <c r="K17" s="129">
        <v>22221</v>
      </c>
      <c r="L17" s="129">
        <f t="shared" si="0"/>
        <v>8189.76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2000</v>
      </c>
      <c r="T17" s="129">
        <v>2000</v>
      </c>
      <c r="U17" s="129">
        <v>2000</v>
      </c>
      <c r="V17" s="129">
        <v>1113</v>
      </c>
      <c r="W17" s="129">
        <v>152</v>
      </c>
      <c r="X17" s="129">
        <v>1102</v>
      </c>
      <c r="Y17" s="129">
        <f t="shared" si="1"/>
        <v>299.86</v>
      </c>
    </row>
    <row r="18" spans="1:25" s="55" customFormat="1" ht="2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18000</v>
      </c>
      <c r="G18" s="129">
        <v>18000</v>
      </c>
      <c r="H18" s="129">
        <v>18000</v>
      </c>
      <c r="I18" s="129">
        <v>12116</v>
      </c>
      <c r="J18" s="129">
        <v>2505</v>
      </c>
      <c r="K18" s="129">
        <v>11086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2500</v>
      </c>
      <c r="T18" s="129">
        <v>2500</v>
      </c>
      <c r="U18" s="129">
        <v>2500</v>
      </c>
      <c r="V18" s="129">
        <v>1469</v>
      </c>
      <c r="W18" s="129">
        <v>207</v>
      </c>
      <c r="X18" s="129">
        <v>1521</v>
      </c>
      <c r="Y18" s="129">
        <f t="shared" si="1"/>
        <v>899.55</v>
      </c>
    </row>
    <row r="19" spans="1:25" s="55" customFormat="1" ht="2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12000</v>
      </c>
      <c r="G19" s="129">
        <v>12000</v>
      </c>
      <c r="H19" s="129">
        <v>12000</v>
      </c>
      <c r="I19" s="129">
        <v>7722</v>
      </c>
      <c r="J19" s="129">
        <v>1837</v>
      </c>
      <c r="K19" s="129">
        <v>6780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4000</v>
      </c>
      <c r="T19" s="129">
        <v>4000</v>
      </c>
      <c r="U19" s="129">
        <v>4000</v>
      </c>
      <c r="V19" s="129">
        <v>2554</v>
      </c>
      <c r="W19" s="129">
        <v>326</v>
      </c>
      <c r="X19" s="129">
        <v>2525</v>
      </c>
      <c r="Y19" s="129">
        <f t="shared" si="1"/>
        <v>629.67999999999995</v>
      </c>
    </row>
    <row r="20" spans="1:25" s="55" customFormat="1" ht="2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18000</v>
      </c>
      <c r="G20" s="129">
        <v>20000</v>
      </c>
      <c r="H20" s="129">
        <v>20000</v>
      </c>
      <c r="I20" s="129">
        <v>14219</v>
      </c>
      <c r="J20" s="129">
        <v>1521</v>
      </c>
      <c r="K20" s="129">
        <v>14718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10000</v>
      </c>
      <c r="T20" s="129">
        <v>10000</v>
      </c>
      <c r="U20" s="129">
        <v>10000</v>
      </c>
      <c r="V20" s="129">
        <v>4684</v>
      </c>
      <c r="W20" s="129">
        <v>901</v>
      </c>
      <c r="X20" s="129">
        <v>4545</v>
      </c>
      <c r="Y20" s="129">
        <f t="shared" si="1"/>
        <v>3148.3999999999996</v>
      </c>
    </row>
    <row r="21" spans="1:25" s="55" customFormat="1" ht="2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40000</v>
      </c>
      <c r="G21" s="129">
        <v>40000</v>
      </c>
      <c r="H21" s="176">
        <v>35000</v>
      </c>
      <c r="I21" s="129">
        <v>29732</v>
      </c>
      <c r="J21" s="129">
        <v>-5494</v>
      </c>
      <c r="K21" s="129">
        <v>35571</v>
      </c>
      <c r="L21" s="129">
        <f t="shared" si="0"/>
        <v>8445.5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6500</v>
      </c>
      <c r="T21" s="129">
        <v>6500</v>
      </c>
      <c r="U21" s="129">
        <v>6500</v>
      </c>
      <c r="V21" s="129">
        <v>4853</v>
      </c>
      <c r="W21" s="129">
        <v>-83</v>
      </c>
      <c r="X21" s="129">
        <v>5509</v>
      </c>
      <c r="Y21" s="129">
        <f t="shared" si="1"/>
        <v>956.6049999999999</v>
      </c>
    </row>
    <row r="22" spans="1:25" s="55" customFormat="1" ht="2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22000</v>
      </c>
      <c r="G22" s="129">
        <v>25000</v>
      </c>
      <c r="H22" s="129">
        <v>25000</v>
      </c>
      <c r="I22" s="129">
        <v>15591</v>
      </c>
      <c r="J22" s="129">
        <v>3919</v>
      </c>
      <c r="K22" s="129">
        <v>13950</v>
      </c>
      <c r="L22" s="129">
        <f t="shared" si="0"/>
        <v>8433.25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4500</v>
      </c>
      <c r="T22" s="129">
        <v>4500</v>
      </c>
      <c r="U22" s="176">
        <v>5000</v>
      </c>
      <c r="V22" s="129">
        <v>4308</v>
      </c>
      <c r="W22" s="129">
        <v>630</v>
      </c>
      <c r="X22" s="129">
        <v>4307</v>
      </c>
      <c r="Y22" s="129">
        <f t="shared" si="1"/>
        <v>749.65</v>
      </c>
    </row>
    <row r="23" spans="1:25" s="55" customFormat="1" ht="2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12000</v>
      </c>
      <c r="G23" s="132">
        <v>12000</v>
      </c>
      <c r="H23" s="132">
        <v>12000</v>
      </c>
      <c r="I23" s="132">
        <v>9428</v>
      </c>
      <c r="J23" s="132">
        <v>1766</v>
      </c>
      <c r="K23" s="132">
        <v>8854</v>
      </c>
      <c r="L23" s="129">
        <f t="shared" si="0"/>
        <v>2248.92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1800</v>
      </c>
      <c r="T23" s="129">
        <v>1800</v>
      </c>
      <c r="U23" s="129">
        <v>1800</v>
      </c>
      <c r="V23" s="129">
        <v>1345</v>
      </c>
      <c r="W23" s="129">
        <v>335</v>
      </c>
      <c r="X23" s="129">
        <v>1173</v>
      </c>
      <c r="Y23" s="129">
        <f t="shared" si="1"/>
        <v>404.80200000000002</v>
      </c>
    </row>
    <row r="24" spans="1:25" s="55" customFormat="1" ht="2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18000</v>
      </c>
      <c r="G24" s="132">
        <v>20000</v>
      </c>
      <c r="H24" s="132">
        <v>20000</v>
      </c>
      <c r="I24" s="132">
        <v>13985</v>
      </c>
      <c r="J24" s="132">
        <v>2673</v>
      </c>
      <c r="K24" s="132">
        <v>13286</v>
      </c>
      <c r="L24" s="129">
        <f t="shared" si="0"/>
        <v>6296.7999999999993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12000</v>
      </c>
      <c r="T24" s="129">
        <v>13000</v>
      </c>
      <c r="U24" s="129">
        <v>13000</v>
      </c>
      <c r="V24" s="129">
        <v>10046</v>
      </c>
      <c r="W24" s="129">
        <v>1372</v>
      </c>
      <c r="X24" s="129">
        <v>10128</v>
      </c>
      <c r="Y24" s="129">
        <f t="shared" si="1"/>
        <v>1759.94</v>
      </c>
    </row>
    <row r="25" spans="1:25" s="55" customFormat="1" ht="2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18000</v>
      </c>
      <c r="G25" s="132">
        <v>20000</v>
      </c>
      <c r="H25" s="132">
        <v>20000</v>
      </c>
      <c r="I25" s="132">
        <v>14181</v>
      </c>
      <c r="J25" s="132">
        <v>780</v>
      </c>
      <c r="K25" s="132">
        <v>15489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16000</v>
      </c>
      <c r="U25" s="129">
        <v>16000</v>
      </c>
      <c r="V25" s="129">
        <v>12252</v>
      </c>
      <c r="W25" s="129">
        <v>1543</v>
      </c>
      <c r="X25" s="129">
        <v>13219</v>
      </c>
      <c r="Y25" s="129">
        <f t="shared" si="1"/>
        <v>2878.56</v>
      </c>
    </row>
    <row r="26" spans="1:25" s="55" customFormat="1" ht="2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6000</v>
      </c>
      <c r="G26" s="129">
        <v>7500</v>
      </c>
      <c r="H26" s="129">
        <v>7500</v>
      </c>
      <c r="I26" s="129">
        <v>4185</v>
      </c>
      <c r="J26" s="129">
        <v>1146</v>
      </c>
      <c r="K26" s="129">
        <v>3642</v>
      </c>
      <c r="L26" s="129">
        <f t="shared" si="0"/>
        <v>1574.25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1500</v>
      </c>
      <c r="T26" s="129">
        <v>1500</v>
      </c>
      <c r="U26" s="129">
        <v>1500</v>
      </c>
      <c r="V26" s="129">
        <v>1040</v>
      </c>
      <c r="W26" s="129">
        <v>225</v>
      </c>
      <c r="X26" s="129">
        <v>1009</v>
      </c>
      <c r="Y26" s="129">
        <f t="shared" si="1"/>
        <v>890.22</v>
      </c>
    </row>
    <row r="27" spans="1:25" s="55" customFormat="1" ht="2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12000</v>
      </c>
      <c r="G27" s="129">
        <v>13000</v>
      </c>
      <c r="H27" s="129">
        <v>13000</v>
      </c>
      <c r="I27" s="129">
        <v>9144</v>
      </c>
      <c r="J27" s="129">
        <v>1273</v>
      </c>
      <c r="K27" s="129">
        <v>9071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12000</v>
      </c>
      <c r="T27" s="129">
        <v>13000</v>
      </c>
      <c r="U27" s="129">
        <v>13000</v>
      </c>
      <c r="V27" s="129">
        <v>9991</v>
      </c>
      <c r="W27" s="129">
        <v>1326</v>
      </c>
      <c r="X27" s="129">
        <v>10213</v>
      </c>
      <c r="Y27" s="129">
        <f t="shared" si="1"/>
        <v>4034.4199999999996</v>
      </c>
    </row>
    <row r="28" spans="1:25" s="55" customFormat="1" ht="2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13000</v>
      </c>
      <c r="G28" s="129">
        <v>15000</v>
      </c>
      <c r="H28" s="129">
        <v>15000</v>
      </c>
      <c r="I28" s="129">
        <v>11433</v>
      </c>
      <c r="J28" s="129">
        <v>1522</v>
      </c>
      <c r="K28" s="129">
        <v>11238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62000</v>
      </c>
      <c r="T28" s="129">
        <v>65000</v>
      </c>
      <c r="U28" s="176">
        <v>66000</v>
      </c>
      <c r="V28" s="129">
        <v>60313</v>
      </c>
      <c r="W28" s="129">
        <v>6445</v>
      </c>
      <c r="X28" s="129">
        <v>62199</v>
      </c>
      <c r="Y28" s="129">
        <f t="shared" si="1"/>
        <v>15036.78</v>
      </c>
    </row>
    <row r="29" spans="1:25" s="55" customFormat="1" ht="2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263465.13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10000</v>
      </c>
      <c r="T29" s="129">
        <v>11000</v>
      </c>
      <c r="U29" s="129">
        <v>11000</v>
      </c>
      <c r="V29" s="129">
        <v>8301</v>
      </c>
      <c r="W29" s="129">
        <v>693</v>
      </c>
      <c r="X29" s="129">
        <v>8739</v>
      </c>
      <c r="Y29" s="129">
        <f t="shared" si="1"/>
        <v>1979.01</v>
      </c>
    </row>
    <row r="30" spans="1:25" s="55" customFormat="1" ht="20.25" customHeight="1" x14ac:dyDescent="0.3">
      <c r="A30" s="120"/>
      <c r="B30" s="120"/>
      <c r="F30" s="165"/>
      <c r="G30" s="165"/>
      <c r="H30" s="164"/>
      <c r="I30" s="82">
        <f>L29/Y63</f>
        <v>0.74209787474959965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12000</v>
      </c>
      <c r="T30" s="129">
        <v>14000</v>
      </c>
      <c r="U30" s="129">
        <v>12000</v>
      </c>
      <c r="V30" s="129">
        <v>8276</v>
      </c>
      <c r="W30" s="129">
        <v>1275</v>
      </c>
      <c r="X30" s="129">
        <v>8248</v>
      </c>
      <c r="Y30" s="129">
        <f t="shared" si="1"/>
        <v>1082.6400000000001</v>
      </c>
    </row>
    <row r="31" spans="1:25" s="55" customFormat="1" ht="2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4000</v>
      </c>
      <c r="T31" s="129">
        <v>4500</v>
      </c>
      <c r="U31" s="129">
        <v>4500</v>
      </c>
      <c r="V31" s="129">
        <v>3340</v>
      </c>
      <c r="W31" s="129">
        <v>505</v>
      </c>
      <c r="X31" s="129">
        <v>3165</v>
      </c>
      <c r="Y31" s="129">
        <f t="shared" si="1"/>
        <v>744.35534999999993</v>
      </c>
    </row>
    <row r="32" spans="1:25" s="55" customFormat="1" ht="33.75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236</v>
      </c>
      <c r="G32" s="67" t="s">
        <v>245</v>
      </c>
      <c r="H32" s="67" t="s">
        <v>248</v>
      </c>
      <c r="I32" s="175" t="s">
        <v>255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20000</v>
      </c>
      <c r="T32" s="129">
        <v>22000</v>
      </c>
      <c r="U32" s="129">
        <v>22000</v>
      </c>
      <c r="V32" s="129">
        <v>16175</v>
      </c>
      <c r="W32" s="129">
        <v>1200</v>
      </c>
      <c r="X32" s="129">
        <v>17038</v>
      </c>
      <c r="Y32" s="129">
        <f t="shared" si="1"/>
        <v>2582.58</v>
      </c>
    </row>
    <row r="33" spans="1:25" s="55" customFormat="1" ht="2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4500</v>
      </c>
      <c r="G33" s="129">
        <v>5000</v>
      </c>
      <c r="H33" s="129">
        <v>5000</v>
      </c>
      <c r="I33" s="129">
        <v>2994</v>
      </c>
      <c r="J33" s="129">
        <v>275</v>
      </c>
      <c r="K33" s="129">
        <v>3071</v>
      </c>
      <c r="L33" s="129">
        <f>E33*H33/1000</f>
        <v>899.55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18000</v>
      </c>
      <c r="T33" s="129">
        <v>16000</v>
      </c>
      <c r="U33" s="176">
        <v>14000</v>
      </c>
      <c r="V33" s="129">
        <v>10210</v>
      </c>
      <c r="W33" s="129">
        <v>-769</v>
      </c>
      <c r="X33" s="129">
        <v>12203</v>
      </c>
      <c r="Y33" s="129">
        <f t="shared" si="1"/>
        <v>419.86</v>
      </c>
    </row>
    <row r="34" spans="1:25" s="55" customFormat="1" ht="2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2495</v>
      </c>
      <c r="J34" s="129">
        <v>195</v>
      </c>
      <c r="K34" s="129">
        <v>2613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10000</v>
      </c>
      <c r="T34" s="129">
        <v>8000</v>
      </c>
      <c r="U34" s="129">
        <v>8000</v>
      </c>
      <c r="V34" s="129">
        <v>5690</v>
      </c>
      <c r="W34" s="129">
        <v>332</v>
      </c>
      <c r="X34" s="129">
        <v>5982</v>
      </c>
      <c r="Y34" s="129">
        <f t="shared" si="1"/>
        <v>269.83999999999997</v>
      </c>
    </row>
    <row r="35" spans="1:25" s="55" customFormat="1" ht="2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973</v>
      </c>
      <c r="J35" s="129">
        <v>101</v>
      </c>
      <c r="K35" s="129">
        <v>1013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59955.56734999999</v>
      </c>
    </row>
    <row r="36" spans="1:25" s="55" customFormat="1" ht="2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2200</v>
      </c>
      <c r="G36" s="129">
        <v>2500</v>
      </c>
      <c r="H36" s="129">
        <v>2500</v>
      </c>
      <c r="I36" s="129">
        <v>1475</v>
      </c>
      <c r="J36" s="129">
        <v>213</v>
      </c>
      <c r="K36" s="129">
        <v>1488</v>
      </c>
      <c r="L36" s="129">
        <f t="shared" si="2"/>
        <v>749.625</v>
      </c>
      <c r="M36" s="139"/>
      <c r="U36" s="73"/>
      <c r="V36" s="166">
        <f>Y35/Y63</f>
        <v>0.16887585506985869</v>
      </c>
      <c r="W36" s="73"/>
      <c r="X36" s="73"/>
      <c r="Y36" s="140"/>
    </row>
    <row r="37" spans="1:25" s="55" customFormat="1" ht="32.25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3800</v>
      </c>
      <c r="G37" s="129">
        <v>3800</v>
      </c>
      <c r="H37" s="129">
        <v>3800</v>
      </c>
      <c r="I37" s="129">
        <v>2312</v>
      </c>
      <c r="J37" s="129">
        <v>271</v>
      </c>
      <c r="K37" s="129">
        <v>2387</v>
      </c>
      <c r="L37" s="129">
        <f t="shared" si="2"/>
        <v>857.12800000000004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5.2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3800</v>
      </c>
      <c r="G38" s="129">
        <v>3800</v>
      </c>
      <c r="H38" s="129">
        <v>3800</v>
      </c>
      <c r="I38" s="129">
        <v>2355</v>
      </c>
      <c r="J38" s="129">
        <v>178</v>
      </c>
      <c r="K38" s="129">
        <v>2517</v>
      </c>
      <c r="L38" s="129">
        <f t="shared" si="2"/>
        <v>514.44399999999996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236</v>
      </c>
      <c r="T38" s="67" t="s">
        <v>245</v>
      </c>
      <c r="U38" s="67" t="s">
        <v>248</v>
      </c>
      <c r="V38" s="175" t="s">
        <v>255</v>
      </c>
      <c r="W38" s="67" t="s">
        <v>228</v>
      </c>
      <c r="X38" s="67" t="s">
        <v>229</v>
      </c>
      <c r="Y38" s="67" t="s">
        <v>119</v>
      </c>
    </row>
    <row r="39" spans="1:25" s="55" customFormat="1" ht="20.25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2800</v>
      </c>
      <c r="G39" s="129">
        <v>3000</v>
      </c>
      <c r="H39" s="129">
        <v>3000</v>
      </c>
      <c r="I39" s="129">
        <v>2083</v>
      </c>
      <c r="J39" s="129">
        <v>276</v>
      </c>
      <c r="K39" s="129">
        <v>2124</v>
      </c>
      <c r="L39" s="129">
        <f t="shared" si="2"/>
        <v>449.79</v>
      </c>
      <c r="M39" s="139"/>
      <c r="N39" s="5">
        <v>1</v>
      </c>
      <c r="O39" s="5" t="s">
        <v>238</v>
      </c>
      <c r="P39" s="9" t="s">
        <v>237</v>
      </c>
      <c r="Q39" s="8" t="s">
        <v>232</v>
      </c>
      <c r="R39" s="8">
        <v>449.78</v>
      </c>
      <c r="S39" s="129">
        <v>15000</v>
      </c>
      <c r="T39" s="129">
        <v>10000</v>
      </c>
      <c r="U39" s="129">
        <v>10000</v>
      </c>
      <c r="V39" s="129">
        <v>5768</v>
      </c>
      <c r="W39" s="129">
        <v>1062</v>
      </c>
      <c r="X39" s="129">
        <v>5509</v>
      </c>
      <c r="Y39" s="129">
        <f t="shared" ref="Y39:Y52" si="3">R39*U39/1000</f>
        <v>4497.8</v>
      </c>
    </row>
    <row r="40" spans="1:25" s="55" customFormat="1" ht="2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345</v>
      </c>
      <c r="J40" s="129">
        <v>34</v>
      </c>
      <c r="K40" s="129">
        <v>381</v>
      </c>
      <c r="L40" s="129">
        <f t="shared" si="2"/>
        <v>337.33499999999998</v>
      </c>
      <c r="M40" s="139"/>
      <c r="N40" s="5">
        <v>2</v>
      </c>
      <c r="O40" s="5" t="s">
        <v>243</v>
      </c>
      <c r="P40" s="9" t="s">
        <v>239</v>
      </c>
      <c r="Q40" s="8" t="s">
        <v>241</v>
      </c>
      <c r="R40" s="8">
        <v>269.87</v>
      </c>
      <c r="S40" s="129">
        <v>12000</v>
      </c>
      <c r="T40" s="129">
        <v>10000</v>
      </c>
      <c r="U40" s="176">
        <v>12000</v>
      </c>
      <c r="V40" s="129">
        <v>8383</v>
      </c>
      <c r="W40" s="129">
        <v>5297</v>
      </c>
      <c r="X40" s="129">
        <v>3826</v>
      </c>
      <c r="Y40" s="129">
        <f t="shared" si="3"/>
        <v>3238.44</v>
      </c>
    </row>
    <row r="41" spans="1:25" s="74" customFormat="1" ht="2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20000</v>
      </c>
      <c r="G41" s="129">
        <v>25000</v>
      </c>
      <c r="H41" s="176">
        <v>26000</v>
      </c>
      <c r="I41" s="129">
        <v>19751</v>
      </c>
      <c r="J41" s="129">
        <v>2136</v>
      </c>
      <c r="K41" s="129">
        <v>25210</v>
      </c>
      <c r="L41" s="129">
        <f t="shared" si="2"/>
        <v>2178.2800000000002</v>
      </c>
      <c r="M41" s="139"/>
      <c r="N41" s="5">
        <v>3</v>
      </c>
      <c r="O41" s="5" t="s">
        <v>244</v>
      </c>
      <c r="P41" s="9" t="s">
        <v>240</v>
      </c>
      <c r="Q41" s="8" t="s">
        <v>242</v>
      </c>
      <c r="R41" s="8">
        <v>359.82</v>
      </c>
      <c r="S41" s="129">
        <v>10000</v>
      </c>
      <c r="T41" s="129">
        <v>8000</v>
      </c>
      <c r="U41" s="176">
        <v>6000</v>
      </c>
      <c r="V41" s="129">
        <v>2174</v>
      </c>
      <c r="W41" s="129">
        <v>489</v>
      </c>
      <c r="X41" s="129">
        <v>1866</v>
      </c>
      <c r="Y41" s="129">
        <f t="shared" si="3"/>
        <v>2158.92</v>
      </c>
    </row>
    <row r="42" spans="1:25" s="74" customFormat="1" ht="2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13000</v>
      </c>
      <c r="G42" s="129">
        <v>14000</v>
      </c>
      <c r="H42" s="129">
        <v>14000</v>
      </c>
      <c r="I42" s="129">
        <v>10375</v>
      </c>
      <c r="J42" s="129">
        <v>2367</v>
      </c>
      <c r="K42" s="129">
        <v>11273</v>
      </c>
      <c r="L42" s="129">
        <f t="shared" si="2"/>
        <v>2248.2600000000002</v>
      </c>
      <c r="M42" s="139"/>
      <c r="N42" s="5">
        <v>4</v>
      </c>
      <c r="O42" s="5" t="s">
        <v>234</v>
      </c>
      <c r="P42" s="9" t="s">
        <v>230</v>
      </c>
      <c r="Q42" s="8" t="s">
        <v>232</v>
      </c>
      <c r="R42" s="8">
        <v>224.89</v>
      </c>
      <c r="S42" s="129">
        <v>5000</v>
      </c>
      <c r="T42" s="129">
        <v>3000</v>
      </c>
      <c r="U42" s="176">
        <v>2000</v>
      </c>
      <c r="V42" s="129">
        <v>115</v>
      </c>
      <c r="W42" s="129">
        <v>-211</v>
      </c>
      <c r="X42" s="129">
        <v>351</v>
      </c>
      <c r="Y42" s="129">
        <f t="shared" si="3"/>
        <v>449.78</v>
      </c>
    </row>
    <row r="43" spans="1:25" s="74" customFormat="1" ht="2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11000</v>
      </c>
      <c r="G43" s="129">
        <v>12000</v>
      </c>
      <c r="H43" s="176">
        <v>13000</v>
      </c>
      <c r="I43" s="129">
        <v>9322</v>
      </c>
      <c r="J43" s="129">
        <v>2202</v>
      </c>
      <c r="K43" s="129">
        <v>11089</v>
      </c>
      <c r="L43" s="129">
        <f t="shared" si="2"/>
        <v>1827.8</v>
      </c>
      <c r="M43" s="139"/>
      <c r="N43" s="5">
        <v>5</v>
      </c>
      <c r="O43" s="5" t="s">
        <v>235</v>
      </c>
      <c r="P43" s="9" t="s">
        <v>231</v>
      </c>
      <c r="Q43" s="8" t="s">
        <v>233</v>
      </c>
      <c r="R43" s="8">
        <v>187.41</v>
      </c>
      <c r="S43" s="129">
        <v>2000</v>
      </c>
      <c r="T43" s="129">
        <v>2000</v>
      </c>
      <c r="U43" s="176">
        <v>1500</v>
      </c>
      <c r="V43" s="129">
        <v>109</v>
      </c>
      <c r="W43" s="129">
        <v>-187</v>
      </c>
      <c r="X43" s="129">
        <v>318</v>
      </c>
      <c r="Y43" s="129">
        <f t="shared" si="3"/>
        <v>281.11500000000001</v>
      </c>
    </row>
    <row r="44" spans="1:25" s="74" customFormat="1" ht="19.5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8000</v>
      </c>
      <c r="G44" s="129">
        <v>10000</v>
      </c>
      <c r="H44" s="129">
        <v>10000</v>
      </c>
      <c r="I44" s="129">
        <v>7059</v>
      </c>
      <c r="J44" s="129">
        <v>879</v>
      </c>
      <c r="K44" s="129">
        <v>6897</v>
      </c>
      <c r="L44" s="129">
        <f t="shared" si="2"/>
        <v>1793.5000000000002</v>
      </c>
      <c r="M44" s="134"/>
      <c r="N44" s="5">
        <v>6</v>
      </c>
      <c r="O44" s="7" t="s">
        <v>251</v>
      </c>
      <c r="P44" s="91" t="s">
        <v>249</v>
      </c>
      <c r="Q44" s="8" t="s">
        <v>10</v>
      </c>
      <c r="R44" s="7">
        <v>209.9</v>
      </c>
      <c r="S44" s="129">
        <v>5000</v>
      </c>
      <c r="T44" s="129"/>
      <c r="U44" s="176">
        <v>4000</v>
      </c>
      <c r="V44" s="129"/>
      <c r="W44" s="129"/>
      <c r="X44" s="129"/>
      <c r="Y44" s="129">
        <f t="shared" si="3"/>
        <v>839.6</v>
      </c>
    </row>
    <row r="45" spans="1:25" s="74" customFormat="1" ht="2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7000</v>
      </c>
      <c r="G45" s="129">
        <v>8000</v>
      </c>
      <c r="H45" s="129">
        <v>8000</v>
      </c>
      <c r="I45" s="129">
        <v>5176</v>
      </c>
      <c r="J45" s="129">
        <v>-37</v>
      </c>
      <c r="K45" s="129">
        <v>5882</v>
      </c>
      <c r="L45" s="129">
        <f t="shared" si="2"/>
        <v>938.07999999999993</v>
      </c>
      <c r="M45" s="134"/>
      <c r="N45" s="5">
        <v>7</v>
      </c>
      <c r="O45" s="7" t="s">
        <v>252</v>
      </c>
      <c r="P45" s="91" t="s">
        <v>250</v>
      </c>
      <c r="Q45" s="8" t="s">
        <v>10</v>
      </c>
      <c r="R45" s="8">
        <v>359.82</v>
      </c>
      <c r="S45" s="129">
        <v>2000</v>
      </c>
      <c r="T45" s="129"/>
      <c r="U45" s="176">
        <v>5000</v>
      </c>
      <c r="V45" s="129"/>
      <c r="W45" s="129"/>
      <c r="X45" s="129"/>
      <c r="Y45" s="129">
        <f t="shared" si="3"/>
        <v>1799.1</v>
      </c>
    </row>
    <row r="46" spans="1:25" s="55" customFormat="1" ht="2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12000</v>
      </c>
      <c r="G46" s="129">
        <v>16000</v>
      </c>
      <c r="H46" s="129">
        <v>16000</v>
      </c>
      <c r="I46" s="129">
        <v>13056</v>
      </c>
      <c r="J46" s="129">
        <v>157</v>
      </c>
      <c r="K46" s="129">
        <v>14720</v>
      </c>
      <c r="L46" s="129">
        <f t="shared" si="2"/>
        <v>1178.4467200000001</v>
      </c>
      <c r="M46" s="118"/>
      <c r="N46" s="5">
        <v>8</v>
      </c>
      <c r="O46" s="5" t="s">
        <v>210</v>
      </c>
      <c r="P46" s="9" t="s">
        <v>141</v>
      </c>
      <c r="Q46" s="8" t="s">
        <v>142</v>
      </c>
      <c r="R46" s="8">
        <v>52.47</v>
      </c>
      <c r="S46" s="129">
        <v>5500</v>
      </c>
      <c r="T46" s="129">
        <v>5500</v>
      </c>
      <c r="U46" s="129">
        <v>5500</v>
      </c>
      <c r="V46" s="129">
        <v>3911</v>
      </c>
      <c r="W46" s="129">
        <v>1515</v>
      </c>
      <c r="X46" s="129">
        <v>2658</v>
      </c>
      <c r="Y46" s="129">
        <f t="shared" si="3"/>
        <v>288.58499999999998</v>
      </c>
    </row>
    <row r="47" spans="1:25" s="55" customFormat="1" ht="20.25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15456.49872</v>
      </c>
      <c r="M47" s="128"/>
      <c r="N47" s="5">
        <v>9</v>
      </c>
      <c r="O47" s="5" t="s">
        <v>212</v>
      </c>
      <c r="P47" s="9" t="s">
        <v>144</v>
      </c>
      <c r="Q47" s="8" t="s">
        <v>142</v>
      </c>
      <c r="R47" s="8">
        <v>33.729999999999997</v>
      </c>
      <c r="S47" s="129">
        <v>3000</v>
      </c>
      <c r="T47" s="129">
        <v>3000</v>
      </c>
      <c r="U47" s="129">
        <v>3000</v>
      </c>
      <c r="V47" s="129">
        <v>1114</v>
      </c>
      <c r="W47" s="129">
        <v>348</v>
      </c>
      <c r="X47" s="129">
        <v>847</v>
      </c>
      <c r="Y47" s="129">
        <f t="shared" si="3"/>
        <v>101.18999999999998</v>
      </c>
    </row>
    <row r="48" spans="1:25" s="55" customFormat="1" ht="20.25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214</v>
      </c>
      <c r="P48" s="9" t="s">
        <v>143</v>
      </c>
      <c r="Q48" s="8" t="s">
        <v>72</v>
      </c>
      <c r="R48" s="8">
        <v>37.479999999999997</v>
      </c>
      <c r="S48" s="129">
        <v>2500</v>
      </c>
      <c r="T48" s="129">
        <v>2500</v>
      </c>
      <c r="U48" s="129">
        <v>2500</v>
      </c>
      <c r="V48" s="129">
        <v>859</v>
      </c>
      <c r="W48" s="129">
        <v>133</v>
      </c>
      <c r="X48" s="129">
        <v>773</v>
      </c>
      <c r="Y48" s="129">
        <f t="shared" si="3"/>
        <v>93.699999999999989</v>
      </c>
    </row>
    <row r="49" spans="1:25" s="55" customFormat="1" ht="19.5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216</v>
      </c>
      <c r="P49" s="9" t="s">
        <v>146</v>
      </c>
      <c r="Q49" s="8" t="s">
        <v>145</v>
      </c>
      <c r="R49" s="8">
        <v>25.19</v>
      </c>
      <c r="S49" s="129">
        <v>3000</v>
      </c>
      <c r="T49" s="129">
        <v>3000</v>
      </c>
      <c r="U49" s="176">
        <v>2500</v>
      </c>
      <c r="V49" s="129">
        <v>1234</v>
      </c>
      <c r="W49" s="129">
        <v>548</v>
      </c>
      <c r="X49" s="129">
        <v>698</v>
      </c>
      <c r="Y49" s="129">
        <f t="shared" si="3"/>
        <v>62.975000000000001</v>
      </c>
    </row>
    <row r="50" spans="1:25" s="55" customFormat="1" ht="30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236</v>
      </c>
      <c r="G50" s="67" t="s">
        <v>245</v>
      </c>
      <c r="H50" s="67" t="s">
        <v>248</v>
      </c>
      <c r="I50" s="175" t="s">
        <v>255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218</v>
      </c>
      <c r="P50" s="9" t="s">
        <v>147</v>
      </c>
      <c r="Q50" s="8" t="s">
        <v>145</v>
      </c>
      <c r="R50" s="8">
        <v>27.06</v>
      </c>
      <c r="S50" s="129">
        <v>2000</v>
      </c>
      <c r="T50" s="129">
        <v>2000</v>
      </c>
      <c r="U50" s="176">
        <v>1800</v>
      </c>
      <c r="V50" s="129">
        <v>661</v>
      </c>
      <c r="W50" s="129">
        <v>164</v>
      </c>
      <c r="X50" s="129">
        <v>501</v>
      </c>
      <c r="Y50" s="129">
        <f t="shared" si="3"/>
        <v>48.707999999999998</v>
      </c>
    </row>
    <row r="51" spans="1:25" s="54" customFormat="1" ht="19.5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4000</v>
      </c>
      <c r="G51" s="129">
        <v>4500</v>
      </c>
      <c r="H51" s="129">
        <v>4500</v>
      </c>
      <c r="I51" s="129">
        <v>3227</v>
      </c>
      <c r="J51" s="129">
        <v>322</v>
      </c>
      <c r="K51" s="129">
        <v>3273</v>
      </c>
      <c r="L51" s="129">
        <f>E51*H51/1000</f>
        <v>1082.69865</v>
      </c>
      <c r="M51" s="134"/>
      <c r="N51" s="5">
        <v>13</v>
      </c>
      <c r="O51" s="5" t="s">
        <v>220</v>
      </c>
      <c r="P51" s="9" t="s">
        <v>149</v>
      </c>
      <c r="Q51" s="8" t="s">
        <v>72</v>
      </c>
      <c r="R51" s="8">
        <v>21.44</v>
      </c>
      <c r="S51" s="129">
        <v>6000</v>
      </c>
      <c r="T51" s="129">
        <v>6000</v>
      </c>
      <c r="U51" s="129">
        <v>6000</v>
      </c>
      <c r="V51" s="129">
        <v>4239</v>
      </c>
      <c r="W51" s="129">
        <v>1272</v>
      </c>
      <c r="X51" s="129">
        <v>3425</v>
      </c>
      <c r="Y51" s="129">
        <f t="shared" si="3"/>
        <v>128.64000000000001</v>
      </c>
    </row>
    <row r="52" spans="1:25" s="54" customFormat="1" ht="21.75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1396</v>
      </c>
      <c r="J52" s="129">
        <v>150</v>
      </c>
      <c r="K52" s="129">
        <v>1556</v>
      </c>
      <c r="L52" s="129">
        <f>E52*H52/1000</f>
        <v>203.00597999999999</v>
      </c>
      <c r="M52" s="144"/>
      <c r="N52" s="5">
        <v>14</v>
      </c>
      <c r="O52" s="5" t="s">
        <v>221</v>
      </c>
      <c r="P52" s="9" t="s">
        <v>148</v>
      </c>
      <c r="Q52" s="8" t="s">
        <v>72</v>
      </c>
      <c r="R52" s="8">
        <v>21.44</v>
      </c>
      <c r="S52" s="129">
        <v>4000</v>
      </c>
      <c r="T52" s="129">
        <v>4000</v>
      </c>
      <c r="U52" s="176">
        <v>3500</v>
      </c>
      <c r="V52" s="129">
        <v>1650</v>
      </c>
      <c r="W52" s="129">
        <v>253</v>
      </c>
      <c r="X52" s="129">
        <v>1571</v>
      </c>
      <c r="Y52" s="129">
        <f t="shared" si="3"/>
        <v>75.040000000000006</v>
      </c>
    </row>
    <row r="53" spans="1:25" s="54" customFormat="1" ht="2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596</v>
      </c>
      <c r="J53" s="129">
        <v>163</v>
      </c>
      <c r="K53" s="129">
        <v>592</v>
      </c>
      <c r="L53" s="129">
        <f>E53*H53/1000</f>
        <v>315.22000000000003</v>
      </c>
      <c r="M53" s="144"/>
      <c r="N53" s="5">
        <v>15</v>
      </c>
      <c r="O53" s="5" t="s">
        <v>222</v>
      </c>
      <c r="P53" s="9" t="s">
        <v>150</v>
      </c>
      <c r="Q53" s="8" t="s">
        <v>59</v>
      </c>
      <c r="R53" s="8">
        <v>179.91</v>
      </c>
      <c r="S53" s="129">
        <v>1500</v>
      </c>
      <c r="T53" s="129">
        <v>1500</v>
      </c>
      <c r="U53" s="129">
        <v>1500</v>
      </c>
      <c r="V53" s="129">
        <v>369</v>
      </c>
      <c r="W53" s="129">
        <v>69</v>
      </c>
      <c r="X53" s="129">
        <v>352</v>
      </c>
      <c r="Y53" s="129">
        <f>R53*U53/1000</f>
        <v>269.86500000000001</v>
      </c>
    </row>
    <row r="54" spans="1:25" s="54" customFormat="1" ht="2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5">
        <v>16</v>
      </c>
      <c r="O54" s="5" t="s">
        <v>223</v>
      </c>
      <c r="P54" s="9" t="s">
        <v>151</v>
      </c>
      <c r="Q54" s="8" t="s">
        <v>37</v>
      </c>
      <c r="R54" s="8">
        <v>215.89</v>
      </c>
      <c r="S54" s="129">
        <v>1000</v>
      </c>
      <c r="T54" s="129">
        <v>1000</v>
      </c>
      <c r="U54" s="129">
        <v>1000</v>
      </c>
      <c r="V54" s="129">
        <v>32</v>
      </c>
      <c r="W54" s="129">
        <v>-12</v>
      </c>
      <c r="X54" s="129">
        <v>45</v>
      </c>
      <c r="Y54" s="129">
        <f>R54*U54/1000</f>
        <v>215.89</v>
      </c>
    </row>
    <row r="55" spans="1:25" s="54" customFormat="1" ht="2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40</v>
      </c>
      <c r="O55" s="64"/>
      <c r="P55" s="76"/>
      <c r="Q55" s="75"/>
      <c r="R55" s="75"/>
      <c r="S55" s="75"/>
      <c r="T55" s="75"/>
      <c r="U55" s="75"/>
      <c r="V55" s="75"/>
      <c r="W55" s="75"/>
      <c r="X55" s="75"/>
      <c r="Y55" s="146">
        <f>SUM(Y39:Y54)</f>
        <v>14549.348000000002</v>
      </c>
    </row>
    <row r="56" spans="1:25" s="54" customFormat="1" ht="2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141"/>
      <c r="O56" s="141"/>
      <c r="P56" s="145"/>
      <c r="Q56" s="74"/>
      <c r="R56" s="74"/>
      <c r="S56" s="74"/>
      <c r="T56" s="74"/>
      <c r="U56" s="74"/>
      <c r="V56" s="74"/>
      <c r="W56" s="74"/>
      <c r="X56" s="74"/>
      <c r="Y56" s="144"/>
    </row>
    <row r="57" spans="1:25" s="57" customFormat="1" ht="2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120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L29</f>
        <v>263465.13</v>
      </c>
    </row>
    <row r="58" spans="1:25" s="11" customFormat="1" ht="20.25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121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Y35</f>
        <v>59955.56734999999</v>
      </c>
    </row>
    <row r="59" spans="1:25" s="11" customFormat="1" ht="20.25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131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L47</f>
        <v>15456.49872</v>
      </c>
    </row>
    <row r="60" spans="1:25" s="12" customFormat="1" ht="20.25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122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f>L54</f>
        <v>1600.92463</v>
      </c>
    </row>
    <row r="61" spans="1:25" s="12" customFormat="1" ht="20.25" customHeight="1" x14ac:dyDescent="0.25">
      <c r="A61" s="148"/>
      <c r="B61" s="148"/>
      <c r="C61" s="149"/>
      <c r="D61" s="150"/>
      <c r="E61" s="151"/>
      <c r="F61" s="151"/>
      <c r="G61" s="151"/>
      <c r="H61" s="152"/>
      <c r="I61" s="152"/>
      <c r="J61" s="152"/>
      <c r="K61" s="152"/>
      <c r="L61" s="144"/>
      <c r="M61" s="144"/>
      <c r="N61" s="63" t="s">
        <v>125</v>
      </c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146">
        <f>Y55</f>
        <v>14549.348000000002</v>
      </c>
    </row>
    <row r="62" spans="1:25" s="12" customFormat="1" ht="25.5" customHeight="1" x14ac:dyDescent="0.25">
      <c r="A62" s="148"/>
      <c r="B62" s="148"/>
      <c r="C62" s="149"/>
      <c r="D62" s="150"/>
      <c r="E62" s="151"/>
      <c r="F62" s="151"/>
      <c r="G62" s="151"/>
      <c r="H62" s="152"/>
      <c r="I62" s="152"/>
      <c r="J62" s="152"/>
      <c r="K62" s="152"/>
      <c r="L62" s="144"/>
      <c r="M62" s="144"/>
      <c r="N62" s="63" t="s">
        <v>126</v>
      </c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146"/>
    </row>
    <row r="63" spans="1:25" s="11" customFormat="1" ht="21.75" customHeight="1" x14ac:dyDescent="0.3">
      <c r="A63" s="153"/>
      <c r="B63" s="153"/>
      <c r="C63" s="124"/>
      <c r="D63" s="154"/>
      <c r="E63" s="155"/>
      <c r="F63" s="155"/>
      <c r="G63" s="155"/>
      <c r="H63" s="156"/>
      <c r="I63" s="156"/>
      <c r="J63" s="156"/>
      <c r="K63" s="156"/>
      <c r="L63" s="157"/>
      <c r="M63" s="157"/>
      <c r="N63" s="66" t="s">
        <v>123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146">
        <f>SUM(Y57:Y62)</f>
        <v>355027.46869999997</v>
      </c>
    </row>
    <row r="64" spans="1:25" ht="18" customHeight="1" x14ac:dyDescent="0.3">
      <c r="A64" s="56"/>
      <c r="B64" s="56"/>
      <c r="C64" s="54"/>
      <c r="D64" s="54"/>
      <c r="E64" s="54"/>
      <c r="F64" s="54"/>
      <c r="G64" s="54"/>
      <c r="H64" s="56"/>
      <c r="I64" s="56"/>
      <c r="J64" s="56"/>
      <c r="K64" s="56"/>
      <c r="L64" s="54"/>
      <c r="M64" s="54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4"/>
    </row>
    <row r="65" spans="1:25" ht="16.8" x14ac:dyDescent="0.3">
      <c r="A65" s="56"/>
      <c r="B65" s="56"/>
      <c r="C65" s="11"/>
      <c r="D65" s="54"/>
      <c r="E65" s="54"/>
      <c r="F65" s="54"/>
      <c r="G65" s="54"/>
      <c r="H65" s="56"/>
      <c r="I65" s="56"/>
      <c r="J65" s="56"/>
      <c r="K65" s="56"/>
      <c r="L65" s="54"/>
      <c r="M65" s="54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4"/>
    </row>
    <row r="66" spans="1:25" ht="16.8" x14ac:dyDescent="0.3">
      <c r="A66" s="160"/>
      <c r="B66" s="160"/>
      <c r="C66" s="58"/>
      <c r="D66" s="59"/>
      <c r="E66" s="59"/>
      <c r="F66" s="59"/>
      <c r="G66" s="59"/>
      <c r="H66" s="117"/>
      <c r="I66" s="117"/>
      <c r="J66" s="117"/>
      <c r="K66" s="117"/>
      <c r="L66" s="58"/>
      <c r="M66" s="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9"/>
    </row>
    <row r="67" spans="1:25" ht="16.8" x14ac:dyDescent="0.3">
      <c r="A67" s="84"/>
      <c r="B67" s="84"/>
      <c r="C67" s="168"/>
      <c r="D67" s="168"/>
      <c r="E67" s="168"/>
      <c r="F67" s="168"/>
      <c r="G67" s="168"/>
      <c r="H67" s="169"/>
      <c r="I67" s="169"/>
      <c r="J67" s="169"/>
      <c r="K67" s="169"/>
      <c r="L67" s="11"/>
      <c r="M67" s="11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8" x14ac:dyDescent="0.3">
      <c r="A68" s="122"/>
      <c r="B68" s="122"/>
      <c r="C68" s="162"/>
      <c r="D68" s="162"/>
      <c r="E68" s="162"/>
      <c r="F68" s="162"/>
      <c r="G68" s="162"/>
      <c r="H68" s="10"/>
      <c r="I68" s="10"/>
      <c r="J68" s="10"/>
      <c r="K68" s="10"/>
      <c r="L68" s="162"/>
      <c r="M68" s="162"/>
      <c r="N68" s="58"/>
      <c r="O68" s="58"/>
      <c r="P68" s="161"/>
      <c r="Q68" s="117"/>
      <c r="R68" s="58"/>
      <c r="S68" s="58"/>
      <c r="T68" s="58"/>
      <c r="U68" s="57"/>
      <c r="V68" s="57"/>
      <c r="W68" s="57"/>
      <c r="X68" s="57"/>
      <c r="Y68" s="60"/>
    </row>
    <row r="69" spans="1:25" ht="16.8" x14ac:dyDescent="0.3">
      <c r="A69" s="83"/>
      <c r="B69" s="83"/>
      <c r="C69" s="162"/>
      <c r="D69" s="162"/>
      <c r="E69" s="162"/>
      <c r="F69" s="162"/>
      <c r="G69" s="162"/>
      <c r="H69" s="13"/>
      <c r="I69" s="13"/>
      <c r="J69" s="13"/>
      <c r="K69" s="13"/>
      <c r="L69" s="162"/>
      <c r="M69" s="162"/>
      <c r="N69" s="58"/>
      <c r="O69" s="58"/>
      <c r="P69" s="161"/>
      <c r="Q69" s="117"/>
      <c r="R69" s="58"/>
      <c r="S69" s="58"/>
      <c r="T69" s="58"/>
      <c r="U69" s="57"/>
      <c r="V69" s="57"/>
      <c r="W69" s="57"/>
      <c r="X69" s="57"/>
      <c r="Y69" s="60"/>
    </row>
    <row r="70" spans="1:25" ht="16.8" x14ac:dyDescent="0.3">
      <c r="N70" s="11"/>
      <c r="O70" s="11"/>
      <c r="P70" s="170"/>
      <c r="Q70" s="169"/>
      <c r="R70" s="11"/>
      <c r="S70" s="11"/>
      <c r="T70" s="11"/>
      <c r="U70" s="11"/>
      <c r="V70" s="11"/>
      <c r="W70" s="11"/>
      <c r="X70" s="11"/>
      <c r="Y70" s="11"/>
    </row>
    <row r="71" spans="1:25" ht="18" x14ac:dyDescent="0.3">
      <c r="N71" s="162"/>
      <c r="O71" s="162"/>
      <c r="P71" s="163"/>
      <c r="Q71" s="10"/>
      <c r="R71" s="12"/>
      <c r="S71" s="12"/>
      <c r="T71" s="12"/>
      <c r="U71" s="162"/>
      <c r="V71" s="162"/>
      <c r="W71" s="162"/>
      <c r="X71" s="162"/>
      <c r="Y71" s="162"/>
    </row>
    <row r="72" spans="1:25" ht="9.75" customHeight="1" x14ac:dyDescent="0.3">
      <c r="N72" s="162"/>
      <c r="O72" s="162"/>
      <c r="P72" s="14"/>
      <c r="Q72" s="13"/>
      <c r="R72" s="12"/>
      <c r="S72" s="12"/>
      <c r="T72" s="12"/>
      <c r="U72" s="162"/>
      <c r="V72" s="162"/>
      <c r="W72" s="162"/>
      <c r="X72" s="162"/>
      <c r="Y72" s="162"/>
    </row>
  </sheetData>
  <mergeCells count="2">
    <mergeCell ref="A2:Y2"/>
    <mergeCell ref="A5:Y5"/>
  </mergeCells>
  <pageMargins left="0.51" right="0.4" top="0.3" bottom="0.17" header="0.3" footer="0.17"/>
  <pageSetup paperSize="9" scale="42" orientation="landscape" r:id="rId1"/>
  <colBreaks count="1" manualBreakCount="1">
    <brk id="25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9"/>
  <sheetViews>
    <sheetView showGridLines="0" view="pageBreakPreview" zoomScaleNormal="100" zoomScaleSheetLayoutView="100" workbookViewId="0">
      <selection activeCell="G14" sqref="G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296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420000000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2.3293721000000005</v>
      </c>
      <c r="E9" s="43">
        <f>(D9/100)*$G$7</f>
        <v>9783362.8200000022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1.407037202325581</v>
      </c>
      <c r="E10" s="43">
        <f t="shared" ref="E10:E16" si="0">(D10/100)*$G$7</f>
        <v>5909556.2497674404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10117799.999999998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2.8023813953488372</v>
      </c>
      <c r="E12" s="43">
        <f t="shared" si="0"/>
        <v>11770001.860465117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2.5612093023255813</v>
      </c>
      <c r="E13" s="43">
        <f t="shared" si="0"/>
        <v>10757079.069767442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8211000.0000000009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8492400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2158800</v>
      </c>
      <c r="F16" s="177"/>
      <c r="G16" s="273"/>
    </row>
    <row r="17" spans="1:9" s="3" customFormat="1" ht="18" customHeight="1" x14ac:dyDescent="0.25">
      <c r="A17" s="40">
        <v>1</v>
      </c>
      <c r="B17" s="108" t="s">
        <v>112</v>
      </c>
      <c r="C17" s="109"/>
      <c r="D17" s="289">
        <f>SUM(D9:D16)</f>
        <v>16</v>
      </c>
      <c r="E17" s="44">
        <f>(D17/100)*$G$7</f>
        <v>67200000</v>
      </c>
      <c r="F17" s="177"/>
      <c r="G17" s="281"/>
    </row>
    <row r="18" spans="1:9" s="3" customFormat="1" ht="18" customHeight="1" x14ac:dyDescent="0.25">
      <c r="A18" s="37"/>
      <c r="B18" s="101" t="s">
        <v>85</v>
      </c>
      <c r="C18" s="102"/>
      <c r="D18" s="181">
        <v>2.9</v>
      </c>
      <c r="E18" s="43">
        <f>(D18/100)*$G$7</f>
        <v>12180000</v>
      </c>
      <c r="F18" s="26"/>
    </row>
    <row r="19" spans="1:9" s="3" customFormat="1" ht="18" customHeight="1" x14ac:dyDescent="0.25">
      <c r="A19" s="37"/>
      <c r="B19" s="101" t="s">
        <v>86</v>
      </c>
      <c r="C19" s="102"/>
      <c r="D19" s="181">
        <v>3.32</v>
      </c>
      <c r="E19" s="43">
        <f t="shared" ref="E19:E45" si="1">(D19/100)*$G$7</f>
        <v>13944000</v>
      </c>
      <c r="F19" s="26"/>
      <c r="G19" s="213"/>
    </row>
    <row r="20" spans="1:9" s="3" customFormat="1" ht="18" customHeight="1" x14ac:dyDescent="0.25">
      <c r="A20" s="37"/>
      <c r="B20" s="101" t="s">
        <v>87</v>
      </c>
      <c r="C20" s="102"/>
      <c r="D20" s="181">
        <v>2.93</v>
      </c>
      <c r="E20" s="43">
        <f t="shared" si="1"/>
        <v>12306000.000000002</v>
      </c>
      <c r="F20" s="26"/>
    </row>
    <row r="21" spans="1:9" s="3" customFormat="1" ht="18" customHeight="1" x14ac:dyDescent="0.25">
      <c r="A21" s="40">
        <v>2</v>
      </c>
      <c r="B21" s="108" t="s">
        <v>114</v>
      </c>
      <c r="C21" s="109"/>
      <c r="D21" s="328">
        <f>D20+D19+D18</f>
        <v>9.15</v>
      </c>
      <c r="E21" s="44">
        <f t="shared" si="1"/>
        <v>38430000</v>
      </c>
      <c r="F21" s="19"/>
    </row>
    <row r="22" spans="1:9" s="3" customFormat="1" ht="18" customHeight="1" x14ac:dyDescent="0.25">
      <c r="A22" s="37"/>
      <c r="B22" s="101" t="s">
        <v>88</v>
      </c>
      <c r="C22" s="102"/>
      <c r="D22" s="181">
        <v>3.1</v>
      </c>
      <c r="E22" s="43">
        <f t="shared" si="1"/>
        <v>13020000</v>
      </c>
      <c r="F22" s="19"/>
    </row>
    <row r="23" spans="1:9" s="3" customFormat="1" ht="18" customHeight="1" x14ac:dyDescent="0.25">
      <c r="A23" s="37"/>
      <c r="B23" s="101" t="s">
        <v>89</v>
      </c>
      <c r="C23" s="102"/>
      <c r="D23" s="181">
        <v>3.25</v>
      </c>
      <c r="E23" s="43">
        <f t="shared" si="1"/>
        <v>13650000</v>
      </c>
      <c r="F23" s="19"/>
    </row>
    <row r="24" spans="1:9" s="3" customFormat="1" ht="18" customHeight="1" x14ac:dyDescent="0.25">
      <c r="A24" s="40">
        <v>3</v>
      </c>
      <c r="B24" s="405" t="s">
        <v>113</v>
      </c>
      <c r="C24" s="406"/>
      <c r="D24" s="328">
        <f>D22+D23</f>
        <v>6.35</v>
      </c>
      <c r="E24" s="44">
        <f t="shared" si="1"/>
        <v>26670000</v>
      </c>
      <c r="F24" s="19"/>
    </row>
    <row r="25" spans="1:9" s="3" customFormat="1" ht="18" customHeight="1" x14ac:dyDescent="0.25">
      <c r="A25" s="37"/>
      <c r="B25" s="101" t="s">
        <v>298</v>
      </c>
      <c r="C25" s="102"/>
      <c r="D25" s="181">
        <v>3.11</v>
      </c>
      <c r="E25" s="43">
        <f t="shared" si="1"/>
        <v>13062000</v>
      </c>
      <c r="F25" s="19"/>
      <c r="I25" s="216"/>
    </row>
    <row r="26" spans="1:9" s="3" customFormat="1" ht="18" customHeight="1" x14ac:dyDescent="0.25">
      <c r="A26" s="37"/>
      <c r="B26" s="101" t="s">
        <v>299</v>
      </c>
      <c r="C26" s="102"/>
      <c r="D26" s="181">
        <v>2.9039999999999999</v>
      </c>
      <c r="E26" s="43">
        <f t="shared" si="1"/>
        <v>12196800</v>
      </c>
      <c r="F26" s="19"/>
    </row>
    <row r="27" spans="1:9" s="3" customFormat="1" ht="18" customHeight="1" x14ac:dyDescent="0.25">
      <c r="A27" s="44">
        <v>4</v>
      </c>
      <c r="B27" s="423" t="s">
        <v>300</v>
      </c>
      <c r="C27" s="424"/>
      <c r="D27" s="330">
        <f>D25+D26</f>
        <v>6.0139999999999993</v>
      </c>
      <c r="E27" s="44">
        <f t="shared" si="1"/>
        <v>25258799.999999996</v>
      </c>
      <c r="F27" s="19"/>
    </row>
    <row r="28" spans="1:9" s="3" customFormat="1" ht="18" customHeight="1" x14ac:dyDescent="0.25">
      <c r="A28" s="37"/>
      <c r="B28" s="101" t="s">
        <v>265</v>
      </c>
      <c r="C28" s="102"/>
      <c r="D28" s="181">
        <v>2.85</v>
      </c>
      <c r="E28" s="43">
        <f t="shared" si="1"/>
        <v>11970000</v>
      </c>
      <c r="F28" s="35"/>
    </row>
    <row r="29" spans="1:9" s="3" customFormat="1" ht="18" customHeight="1" x14ac:dyDescent="0.25">
      <c r="A29" s="37"/>
      <c r="B29" s="101" t="s">
        <v>266</v>
      </c>
      <c r="C29" s="102"/>
      <c r="D29" s="181">
        <v>2.8</v>
      </c>
      <c r="E29" s="43">
        <f t="shared" si="1"/>
        <v>11759999.999999998</v>
      </c>
      <c r="F29" s="35"/>
    </row>
    <row r="30" spans="1:9" s="3" customFormat="1" ht="18" customHeight="1" x14ac:dyDescent="0.25">
      <c r="A30" s="214">
        <v>5</v>
      </c>
      <c r="B30" s="405" t="s">
        <v>267</v>
      </c>
      <c r="C30" s="406"/>
      <c r="D30" s="328">
        <f>D28+D29</f>
        <v>5.65</v>
      </c>
      <c r="E30" s="44">
        <f t="shared" si="1"/>
        <v>23730000</v>
      </c>
      <c r="F30" s="19"/>
    </row>
    <row r="31" spans="1:9" s="3" customFormat="1" ht="18" customHeight="1" x14ac:dyDescent="0.25">
      <c r="A31" s="37">
        <v>6</v>
      </c>
      <c r="B31" s="101" t="s">
        <v>90</v>
      </c>
      <c r="C31" s="102"/>
      <c r="D31" s="181">
        <v>5.35</v>
      </c>
      <c r="E31" s="43">
        <f t="shared" si="1"/>
        <v>22470000</v>
      </c>
      <c r="F31" s="19"/>
    </row>
    <row r="32" spans="1:9" s="3" customFormat="1" ht="18" customHeight="1" x14ac:dyDescent="0.25">
      <c r="A32" s="37">
        <v>7</v>
      </c>
      <c r="B32" s="219" t="s">
        <v>93</v>
      </c>
      <c r="C32" s="106"/>
      <c r="D32" s="181">
        <v>5.2</v>
      </c>
      <c r="E32" s="43">
        <f t="shared" si="1"/>
        <v>21840000.000000004</v>
      </c>
      <c r="F32" s="35"/>
    </row>
    <row r="33" spans="1:7" s="3" customFormat="1" ht="18" customHeight="1" x14ac:dyDescent="0.25">
      <c r="A33" s="37">
        <v>8</v>
      </c>
      <c r="B33" s="101" t="s">
        <v>97</v>
      </c>
      <c r="C33" s="102"/>
      <c r="D33" s="181">
        <v>4.5999999999999996</v>
      </c>
      <c r="E33" s="43">
        <f>(D33/100)*$G$7</f>
        <v>19320000</v>
      </c>
      <c r="F33" s="19"/>
    </row>
    <row r="34" spans="1:7" s="3" customFormat="1" ht="18" customHeight="1" x14ac:dyDescent="0.25">
      <c r="A34" s="37">
        <v>9</v>
      </c>
      <c r="B34" s="101" t="s">
        <v>91</v>
      </c>
      <c r="C34" s="102"/>
      <c r="D34" s="181">
        <v>4.4859999999999998</v>
      </c>
      <c r="E34" s="43">
        <f t="shared" si="1"/>
        <v>18841200</v>
      </c>
      <c r="F34" s="19"/>
    </row>
    <row r="35" spans="1:7" s="3" customFormat="1" ht="18" customHeight="1" x14ac:dyDescent="0.25">
      <c r="A35" s="37">
        <v>10</v>
      </c>
      <c r="B35" s="103" t="s">
        <v>39</v>
      </c>
      <c r="C35" s="104"/>
      <c r="D35" s="181">
        <v>4.2</v>
      </c>
      <c r="E35" s="43">
        <f t="shared" si="1"/>
        <v>17640000</v>
      </c>
      <c r="F35" s="19"/>
    </row>
    <row r="36" spans="1:7" s="3" customFormat="1" ht="18" customHeight="1" x14ac:dyDescent="0.25">
      <c r="A36" s="37">
        <v>11</v>
      </c>
      <c r="B36" s="101" t="s">
        <v>99</v>
      </c>
      <c r="C36" s="102"/>
      <c r="D36" s="181">
        <v>3.95</v>
      </c>
      <c r="E36" s="43">
        <f t="shared" si="1"/>
        <v>16590000</v>
      </c>
      <c r="F36" s="19"/>
    </row>
    <row r="37" spans="1:7" s="3" customFormat="1" ht="18" customHeight="1" x14ac:dyDescent="0.25">
      <c r="A37" s="37">
        <v>12</v>
      </c>
      <c r="B37" s="103" t="s">
        <v>100</v>
      </c>
      <c r="C37" s="104"/>
      <c r="D37" s="181">
        <v>3.95</v>
      </c>
      <c r="E37" s="43">
        <f t="shared" si="1"/>
        <v>16590000</v>
      </c>
    </row>
    <row r="38" spans="1:7" s="3" customFormat="1" ht="18" customHeight="1" x14ac:dyDescent="0.25">
      <c r="A38" s="37">
        <v>13</v>
      </c>
      <c r="B38" s="101" t="s">
        <v>92</v>
      </c>
      <c r="C38" s="102"/>
      <c r="D38" s="181">
        <v>3.88</v>
      </c>
      <c r="E38" s="43">
        <f t="shared" si="1"/>
        <v>16296000</v>
      </c>
    </row>
    <row r="39" spans="1:7" s="3" customFormat="1" ht="18" customHeight="1" x14ac:dyDescent="0.25">
      <c r="A39" s="37">
        <v>14</v>
      </c>
      <c r="B39" s="101" t="s">
        <v>69</v>
      </c>
      <c r="C39" s="102"/>
      <c r="D39" s="181">
        <v>3.75</v>
      </c>
      <c r="E39" s="43">
        <f t="shared" si="1"/>
        <v>15750000</v>
      </c>
      <c r="F39" s="35"/>
    </row>
    <row r="40" spans="1:7" s="3" customFormat="1" ht="18" customHeight="1" x14ac:dyDescent="0.25">
      <c r="A40" s="37">
        <v>15</v>
      </c>
      <c r="B40" s="105" t="s">
        <v>152</v>
      </c>
      <c r="C40" s="106"/>
      <c r="D40" s="181">
        <v>3.3600000000000003</v>
      </c>
      <c r="E40" s="43">
        <f t="shared" si="1"/>
        <v>14112000.000000002</v>
      </c>
    </row>
    <row r="41" spans="1:7" s="3" customFormat="1" ht="18" customHeight="1" x14ac:dyDescent="0.25">
      <c r="A41" s="37">
        <v>16</v>
      </c>
      <c r="B41" s="101" t="s">
        <v>102</v>
      </c>
      <c r="C41" s="102"/>
      <c r="D41" s="181">
        <v>3.33</v>
      </c>
      <c r="E41" s="43">
        <f t="shared" si="1"/>
        <v>13986000.000000002</v>
      </c>
    </row>
    <row r="42" spans="1:7" s="3" customFormat="1" ht="18" customHeight="1" x14ac:dyDescent="0.25">
      <c r="A42" s="37">
        <v>17</v>
      </c>
      <c r="B42" s="101" t="s">
        <v>101</v>
      </c>
      <c r="C42" s="102"/>
      <c r="D42" s="181">
        <v>3.26</v>
      </c>
      <c r="E42" s="43">
        <f t="shared" si="1"/>
        <v>13691999.999999998</v>
      </c>
    </row>
    <row r="43" spans="1:7" s="3" customFormat="1" ht="18" customHeight="1" x14ac:dyDescent="0.25">
      <c r="A43" s="37">
        <v>18</v>
      </c>
      <c r="B43" s="103" t="s">
        <v>103</v>
      </c>
      <c r="C43" s="104"/>
      <c r="D43" s="329">
        <v>3.16</v>
      </c>
      <c r="E43" s="43">
        <f t="shared" si="1"/>
        <v>13272000.000000002</v>
      </c>
    </row>
    <row r="44" spans="1:7" s="3" customFormat="1" ht="18" customHeight="1" x14ac:dyDescent="0.25">
      <c r="A44" s="37">
        <v>19</v>
      </c>
      <c r="B44" s="105" t="s">
        <v>95</v>
      </c>
      <c r="C44" s="106"/>
      <c r="D44" s="181">
        <v>3.0600000000000005</v>
      </c>
      <c r="E44" s="43">
        <f t="shared" si="1"/>
        <v>12852000.000000002</v>
      </c>
    </row>
    <row r="45" spans="1:7" s="3" customFormat="1" ht="18" customHeight="1" x14ac:dyDescent="0.25">
      <c r="A45" s="37">
        <v>20</v>
      </c>
      <c r="B45" s="101" t="s">
        <v>104</v>
      </c>
      <c r="C45" s="102"/>
      <c r="D45" s="329">
        <v>2.2999999999999998</v>
      </c>
      <c r="E45" s="43">
        <f t="shared" si="1"/>
        <v>9660000</v>
      </c>
    </row>
    <row r="46" spans="1:7" s="29" customFormat="1" ht="18" customHeight="1" x14ac:dyDescent="0.25">
      <c r="A46" s="101"/>
      <c r="B46" s="113" t="s">
        <v>263</v>
      </c>
      <c r="C46" s="114"/>
      <c r="D46" s="215">
        <f>SUM(D17,D21,D24,D27,D30,SUM(D31:D45))</f>
        <v>101</v>
      </c>
      <c r="E46" s="47">
        <f>SUM(E17,E21,E24,E27,E30,SUM(E31:E45))</f>
        <v>424200000</v>
      </c>
      <c r="F46" s="179"/>
      <c r="G46" s="284">
        <f>E46/10000000</f>
        <v>42.42</v>
      </c>
    </row>
    <row r="47" spans="1:7" ht="18" customHeight="1" x14ac:dyDescent="0.25">
      <c r="A47" s="48"/>
      <c r="B47" s="48"/>
      <c r="C47" s="48"/>
      <c r="D47" s="21"/>
      <c r="E47" s="49"/>
    </row>
    <row r="48" spans="1:7" ht="18" customHeight="1" x14ac:dyDescent="0.25">
      <c r="A48" s="48"/>
      <c r="B48" s="48"/>
      <c r="C48" s="48"/>
      <c r="D48" s="21"/>
      <c r="E48" s="49"/>
    </row>
    <row r="49" spans="1:5" x14ac:dyDescent="0.25">
      <c r="A49" s="31"/>
      <c r="B49" s="31"/>
      <c r="C49" s="31"/>
    </row>
    <row r="50" spans="1:5" x14ac:dyDescent="0.25">
      <c r="A50" s="31"/>
      <c r="B50" s="31"/>
      <c r="C50" s="31"/>
    </row>
    <row r="51" spans="1:5" ht="15.6" x14ac:dyDescent="0.25">
      <c r="A51" s="31"/>
      <c r="B51" s="1"/>
      <c r="E51" s="1"/>
    </row>
    <row r="52" spans="1:5" ht="26.25" customHeight="1" x14ac:dyDescent="0.25">
      <c r="A52" s="31"/>
      <c r="B52" s="1"/>
      <c r="E52" s="1"/>
    </row>
    <row r="53" spans="1:5" ht="15.6" x14ac:dyDescent="0.25">
      <c r="B53" s="2"/>
      <c r="E53" s="3"/>
    </row>
    <row r="54" spans="1:5" ht="15.6" x14ac:dyDescent="0.25">
      <c r="B54" s="1"/>
      <c r="E54" s="1"/>
    </row>
    <row r="55" spans="1:5" s="24" customFormat="1" ht="15.6" x14ac:dyDescent="0.25">
      <c r="B55" s="4"/>
      <c r="D55" s="32"/>
      <c r="E55" s="4"/>
    </row>
    <row r="56" spans="1:5" s="24" customFormat="1" ht="24" customHeight="1" x14ac:dyDescent="0.25">
      <c r="A56" s="18"/>
      <c r="B56" s="1"/>
      <c r="D56" s="32"/>
      <c r="E56" s="1"/>
    </row>
    <row r="57" spans="1:5" s="24" customFormat="1" x14ac:dyDescent="0.25">
      <c r="A57" s="18"/>
      <c r="B57" s="18"/>
      <c r="C57" s="18"/>
      <c r="D57" s="32"/>
    </row>
    <row r="59" spans="1:5" ht="11.25" customHeight="1" x14ac:dyDescent="0.25"/>
  </sheetData>
  <mergeCells count="5">
    <mergeCell ref="A6:E6"/>
    <mergeCell ref="B8:C8"/>
    <mergeCell ref="B24:C24"/>
    <mergeCell ref="B30:C30"/>
    <mergeCell ref="B27:C27"/>
  </mergeCells>
  <printOptions horizontalCentered="1"/>
  <pageMargins left="0.5" right="0.7" top="0.37" bottom="0.32" header="0.3" footer="0.3"/>
  <pageSetup paperSize="9" scale="87" orientation="portrait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22" zoomScaleNormal="100" zoomScaleSheetLayoutView="100" workbookViewId="0">
      <selection activeCell="I30" sqref="I30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296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420000000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2.3293721000000005</v>
      </c>
      <c r="E9" s="43">
        <f>(D9/100)*$G$7</f>
        <v>9783362.8200000022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1.407037202325581</v>
      </c>
      <c r="E10" s="43">
        <f t="shared" ref="E10:E16" si="0">(D10/100)*$G$7</f>
        <v>5909556.2497674404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10117799.999999998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2.8023813953488372</v>
      </c>
      <c r="E12" s="43">
        <f t="shared" si="0"/>
        <v>11770001.860465117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2.5612093023255813</v>
      </c>
      <c r="E13" s="43">
        <f t="shared" si="0"/>
        <v>10757079.069767442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8211000.0000000009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8492400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2158800</v>
      </c>
      <c r="F16" s="177"/>
      <c r="G16" s="273"/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</v>
      </c>
      <c r="E17" s="44">
        <f>(D17/100)*$G$7</f>
        <v>67200000</v>
      </c>
      <c r="F17" s="177"/>
      <c r="G17" s="281"/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12180000</v>
      </c>
      <c r="F18" s="26"/>
    </row>
    <row r="19" spans="1:9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13944000</v>
      </c>
      <c r="F19" s="26"/>
      <c r="G19" s="213"/>
    </row>
    <row r="20" spans="1:9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12306000.000000002</v>
      </c>
      <c r="F20" s="26"/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38430000</v>
      </c>
      <c r="F21" s="19"/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15120000.000000002</v>
      </c>
      <c r="F22" s="19"/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13650000</v>
      </c>
      <c r="F23" s="19"/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28769999.999999996</v>
      </c>
      <c r="F24" s="19"/>
    </row>
    <row r="25" spans="1:9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11970000</v>
      </c>
      <c r="F25" s="35"/>
    </row>
    <row r="26" spans="1:9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11759999.999999998</v>
      </c>
      <c r="F26" s="35"/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23730000</v>
      </c>
      <c r="F27" s="19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23100000</v>
      </c>
      <c r="F28" s="19"/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22470000</v>
      </c>
      <c r="F29" s="19"/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21840000.000000004</v>
      </c>
      <c r="F30" s="35"/>
      <c r="I30" s="35">
        <f>D28+D24+D32</f>
        <v>16.850000000000001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19320000</v>
      </c>
      <c r="F31" s="19"/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18900000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17640000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16590000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16590000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16296000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15750000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14112000.000000002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13986000.000000002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13691999.999999998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13272000.000000002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12852000.000000002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9660000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</v>
      </c>
      <c r="E44" s="47">
        <f>SUM(E17,E21,E24,E27,SUM(E28:E43))</f>
        <v>424200000</v>
      </c>
      <c r="F44" s="179"/>
      <c r="G44" s="284">
        <f>E44/10000000</f>
        <v>42.42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A6" sqref="A6:E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292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2.536</v>
      </c>
      <c r="E9" s="43">
        <f>(D9/100)*$G$7</f>
        <v>10904800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1.5329999999999999</v>
      </c>
      <c r="E10" s="43">
        <f t="shared" ref="E10:E16" si="0">(D10/100)*$G$7</f>
        <v>6591900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10358699.999999998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3.0569999999999999</v>
      </c>
      <c r="E12" s="43">
        <f t="shared" si="0"/>
        <v>13145100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2.6739999999999999</v>
      </c>
      <c r="E13" s="43">
        <f t="shared" si="0"/>
        <v>11498200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8406500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8694600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2210200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16.7</v>
      </c>
      <c r="E17" s="285">
        <f>(D17/100)*$G$7</f>
        <v>71809999.999999985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H17" sqref="H17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430000000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11309000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6837000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10707000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14061000</v>
      </c>
      <c r="F12" s="177"/>
      <c r="G12" s="273"/>
      <c r="I12" s="2" t="s">
        <v>280</v>
      </c>
      <c r="J12" s="2">
        <f>E17*57%</f>
        <v>43382700</v>
      </c>
      <c r="K12" s="282">
        <f>J12/10000000</f>
        <v>4.3382699999999996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12169000.000000002</v>
      </c>
      <c r="F13" s="177"/>
      <c r="G13" s="273"/>
      <c r="I13" s="2" t="s">
        <v>281</v>
      </c>
      <c r="J13" s="2">
        <f>E17*43%</f>
        <v>32727300</v>
      </c>
      <c r="K13" s="282">
        <f>J13/10000000</f>
        <v>3.2727300000000001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9331000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9331000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2365000.0000000005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76110000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441610000</v>
      </c>
      <c r="F44" s="179"/>
      <c r="G44" s="284">
        <f>E44/10000000</f>
        <v>44.161000000000001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" zoomScaleNormal="100" zoomScaleSheetLayoutView="100" workbookViewId="0">
      <selection activeCell="D27" sqref="D27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287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430000000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11309000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6837000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10707000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14061000</v>
      </c>
      <c r="F12" s="177"/>
      <c r="G12" s="273"/>
      <c r="I12" s="2" t="s">
        <v>280</v>
      </c>
      <c r="J12" s="2">
        <f>E17*57%</f>
        <v>43382700</v>
      </c>
      <c r="K12" s="282">
        <f>J12/10000000</f>
        <v>4.3382699999999996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12169000.000000002</v>
      </c>
      <c r="F13" s="177"/>
      <c r="G13" s="273"/>
      <c r="I13" s="2" t="s">
        <v>281</v>
      </c>
      <c r="J13" s="2">
        <f>E17*43%</f>
        <v>32727300</v>
      </c>
      <c r="K13" s="282">
        <f>J13/10000000</f>
        <v>3.2727300000000001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9331000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9331000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2365000.0000000005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76110000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441610000</v>
      </c>
      <c r="F44" s="179"/>
      <c r="G44" s="284">
        <f>E44/10000000</f>
        <v>44.161000000000001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1" zoomScaleNormal="100" zoomScaleSheetLayoutView="100" workbookViewId="0">
      <selection activeCell="F13" sqref="F13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284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415000000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400000000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10520000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6360000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9960000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13080000</v>
      </c>
      <c r="F12" s="177"/>
      <c r="G12" s="273"/>
      <c r="I12" s="2" t="s">
        <v>280</v>
      </c>
      <c r="J12" s="2">
        <f>E17*57%</f>
        <v>40356000</v>
      </c>
      <c r="K12" s="282">
        <f>J12/10000000</f>
        <v>4.0355999999999996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11320000</v>
      </c>
      <c r="F13" s="177"/>
      <c r="G13" s="273"/>
      <c r="I13" s="2" t="s">
        <v>281</v>
      </c>
      <c r="J13" s="2">
        <f>E17*43%</f>
        <v>30444000</v>
      </c>
      <c r="K13" s="282">
        <f>J13/10000000</f>
        <v>3.0444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8680000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8680000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2200000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70800000</v>
      </c>
      <c r="F17" s="177"/>
      <c r="G17" s="281">
        <f>E17/10000000</f>
        <v>7.08</v>
      </c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12035000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1">(D19/100)*$G$7</f>
        <v>13902500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1"/>
        <v>12035000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37972500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14940000.000000002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13487500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28427499.999999996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11412500</v>
      </c>
      <c r="F25" s="19"/>
    </row>
    <row r="26" spans="1:7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12035000</v>
      </c>
      <c r="F26" s="19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23447500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22825000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22202500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21580000.000000004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19090000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18675000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17430000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16392500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16392500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16102000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15562500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13944000.000000002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13819500.000000002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13528999.999999998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13114000.000000002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12699000.000000002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9545000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423550000</v>
      </c>
      <c r="F44" s="179"/>
      <c r="G44" s="280">
        <f>E44/10000000</f>
        <v>42.354999999999997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4" zoomScaleNormal="100" zoomScaleSheetLayoutView="100" workbookViewId="0">
      <selection activeCell="R15" sqref="R15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284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420000000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11046000</v>
      </c>
      <c r="F9" s="177"/>
      <c r="G9" s="273"/>
      <c r="I9" s="208">
        <f>(D9/100)*$G$7</f>
        <v>11046000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6678000</v>
      </c>
      <c r="F10" s="177"/>
      <c r="G10" s="273"/>
      <c r="I10" s="208">
        <f t="shared" ref="I10:I43" si="1">(D10/100)*$G$7</f>
        <v>6678000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10458000</v>
      </c>
      <c r="F11" s="177"/>
      <c r="G11" s="273"/>
      <c r="I11" s="208">
        <f t="shared" si="1"/>
        <v>10458000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13734000</v>
      </c>
      <c r="F12" s="177"/>
      <c r="G12" s="273"/>
      <c r="I12" s="208">
        <f t="shared" si="1"/>
        <v>13734000</v>
      </c>
      <c r="P12" s="2" t="s">
        <v>280</v>
      </c>
      <c r="Q12" s="2">
        <f>E17*57%</f>
        <v>42373800</v>
      </c>
      <c r="R12" s="25">
        <f>Q12/100000</f>
        <v>423.738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11886000.000000002</v>
      </c>
      <c r="F13" s="177"/>
      <c r="G13" s="273"/>
      <c r="I13" s="208">
        <f t="shared" si="1"/>
        <v>11886000.000000002</v>
      </c>
      <c r="P13" s="2" t="s">
        <v>281</v>
      </c>
      <c r="Q13" s="2">
        <f>E17*43%</f>
        <v>31966200</v>
      </c>
      <c r="R13" s="25">
        <f>Q13/100000</f>
        <v>319.66199999999998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9114000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9114000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2310000</v>
      </c>
      <c r="F16" s="177"/>
      <c r="G16" s="273"/>
      <c r="I16" s="208">
        <f t="shared" si="1"/>
        <v>2310000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74340000</v>
      </c>
      <c r="F17" s="177"/>
      <c r="G17" s="273"/>
      <c r="I17" s="208">
        <f t="shared" si="1"/>
        <v>74340000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12180000</v>
      </c>
      <c r="F18" s="26"/>
      <c r="I18" s="208">
        <f t="shared" si="1"/>
        <v>12180000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14070000</v>
      </c>
      <c r="F19" s="26"/>
      <c r="G19" s="213"/>
      <c r="I19" s="208">
        <f t="shared" si="1"/>
        <v>14070000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12180000</v>
      </c>
      <c r="F20" s="26"/>
      <c r="I20" s="208">
        <f t="shared" si="1"/>
        <v>12180000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38430000</v>
      </c>
      <c r="F21" s="19"/>
      <c r="I21" s="208">
        <f t="shared" si="1"/>
        <v>38430000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15120000.000000002</v>
      </c>
      <c r="F22" s="19"/>
      <c r="I22" s="208">
        <f t="shared" si="1"/>
        <v>15120000.000000002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13650000</v>
      </c>
      <c r="F23" s="19"/>
      <c r="I23" s="208">
        <f t="shared" si="1"/>
        <v>13650000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28769999.999999996</v>
      </c>
      <c r="F24" s="19"/>
      <c r="I24" s="208">
        <f t="shared" si="1"/>
        <v>28769999.999999996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11550000</v>
      </c>
      <c r="F25" s="19"/>
      <c r="I25" s="208">
        <f>(D25/100)*$G$7</f>
        <v>11550000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12180000</v>
      </c>
      <c r="F26" s="19"/>
      <c r="I26" s="208">
        <f>(D26/100)*$G$7</f>
        <v>12180000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23730000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23100000</v>
      </c>
      <c r="F28" s="19"/>
      <c r="I28" s="208">
        <f t="shared" si="1"/>
        <v>23100000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22470000</v>
      </c>
      <c r="F29" s="19"/>
      <c r="I29" s="208">
        <f t="shared" si="1"/>
        <v>22470000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21840000.000000004</v>
      </c>
      <c r="F30" s="35"/>
      <c r="I30" s="208">
        <f t="shared" si="1"/>
        <v>21840000.000000004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19320000</v>
      </c>
      <c r="F31" s="19"/>
      <c r="I31" s="208">
        <f t="shared" si="1"/>
        <v>19320000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18900000</v>
      </c>
      <c r="F32" s="19"/>
      <c r="I32" s="208">
        <f t="shared" si="1"/>
        <v>18900000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17640000</v>
      </c>
      <c r="F33" s="19"/>
      <c r="I33" s="208">
        <f t="shared" si="1"/>
        <v>17640000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16590000</v>
      </c>
      <c r="F34" s="19"/>
      <c r="I34" s="208">
        <f t="shared" si="1"/>
        <v>16590000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16590000</v>
      </c>
      <c r="I35" s="208">
        <f t="shared" si="1"/>
        <v>16590000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16296000</v>
      </c>
      <c r="I36" s="208">
        <f t="shared" si="1"/>
        <v>16296000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15750000</v>
      </c>
      <c r="F37" s="35"/>
      <c r="I37" s="208">
        <f t="shared" si="1"/>
        <v>15750000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14112000.000000002</v>
      </c>
      <c r="I38" s="208">
        <f>(D38/100)*$G$7</f>
        <v>14112000.000000002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13986000.000000002</v>
      </c>
      <c r="I39" s="208">
        <f>(D39/100)*$G$7</f>
        <v>13986000.000000002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13691999.999999998</v>
      </c>
      <c r="I40" s="208">
        <f t="shared" si="1"/>
        <v>13691999.999999998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13272000.000000002</v>
      </c>
      <c r="I41" s="208">
        <f t="shared" si="1"/>
        <v>13272000.000000002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12852000.000000002</v>
      </c>
      <c r="I42" s="208">
        <f t="shared" si="1"/>
        <v>12852000.000000002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9660000</v>
      </c>
      <c r="I43" s="208">
        <f t="shared" si="1"/>
        <v>9660000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431340000</v>
      </c>
      <c r="F44" s="179"/>
      <c r="I44" s="209">
        <f>SUM(I17,I21,I24,I28,I29,I30,SUM(I25:I43))</f>
        <v>498750000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37" zoomScaleNormal="100" zoomScaleSheetLayoutView="100" workbookViewId="0">
      <selection activeCell="K18" sqref="K18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279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440000000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11572000</v>
      </c>
      <c r="F9" s="177"/>
      <c r="G9" s="273"/>
      <c r="I9" s="208">
        <f>(D9/100)*$G$7</f>
        <v>11572000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6996000</v>
      </c>
      <c r="F10" s="177"/>
      <c r="G10" s="273"/>
      <c r="I10" s="208">
        <f t="shared" ref="I10:I43" si="1">(D10/100)*$G$7</f>
        <v>6996000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10956000</v>
      </c>
      <c r="F11" s="177"/>
      <c r="G11" s="273"/>
      <c r="I11" s="208">
        <f t="shared" si="1"/>
        <v>10956000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14388000</v>
      </c>
      <c r="F12" s="177"/>
      <c r="G12" s="273"/>
      <c r="I12" s="208">
        <f t="shared" si="1"/>
        <v>14388000</v>
      </c>
      <c r="P12" s="2" t="s">
        <v>280</v>
      </c>
      <c r="Q12" s="2">
        <f>E17*60%</f>
        <v>46728000</v>
      </c>
      <c r="R12" s="25">
        <f>Q12/100000</f>
        <v>467.28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12452000.000000002</v>
      </c>
      <c r="F13" s="177"/>
      <c r="G13" s="273"/>
      <c r="I13" s="208">
        <f t="shared" si="1"/>
        <v>12452000.000000002</v>
      </c>
      <c r="P13" s="2" t="s">
        <v>281</v>
      </c>
      <c r="Q13" s="2">
        <f>E17*40%</f>
        <v>31152000</v>
      </c>
      <c r="R13" s="25">
        <f>Q13/100000</f>
        <v>311.52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9548000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9548000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2420000.0000000005</v>
      </c>
      <c r="F16" s="177"/>
      <c r="G16" s="273"/>
      <c r="I16" s="208">
        <f t="shared" si="1"/>
        <v>2420000.0000000005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77880000</v>
      </c>
      <c r="F17" s="177"/>
      <c r="G17" s="283"/>
      <c r="I17" s="208">
        <f t="shared" si="1"/>
        <v>77880000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12760000</v>
      </c>
      <c r="F18" s="26"/>
      <c r="I18" s="208">
        <f t="shared" si="1"/>
        <v>12760000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14740000</v>
      </c>
      <c r="F19" s="26"/>
      <c r="G19" s="213"/>
      <c r="I19" s="208">
        <f t="shared" si="1"/>
        <v>14740000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12760000</v>
      </c>
      <c r="F20" s="26"/>
      <c r="I20" s="208">
        <f t="shared" si="1"/>
        <v>12760000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40260000</v>
      </c>
      <c r="F21" s="19"/>
      <c r="I21" s="208">
        <f t="shared" si="1"/>
        <v>40260000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15840000.000000002</v>
      </c>
      <c r="F22" s="19"/>
      <c r="I22" s="208">
        <f t="shared" si="1"/>
        <v>15840000.000000002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14300000</v>
      </c>
      <c r="F23" s="19"/>
      <c r="I23" s="208">
        <f t="shared" si="1"/>
        <v>14300000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30139999.999999996</v>
      </c>
      <c r="F24" s="19"/>
      <c r="I24" s="208">
        <f t="shared" si="1"/>
        <v>30139999.999999996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12100000</v>
      </c>
      <c r="F25" s="19"/>
      <c r="I25" s="208">
        <f>(D25/100)*$G$7</f>
        <v>12100000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12760000</v>
      </c>
      <c r="F26" s="19"/>
      <c r="I26" s="208">
        <f>(D26/100)*$G$7</f>
        <v>12760000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24860000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24200000</v>
      </c>
      <c r="F28" s="19"/>
      <c r="I28" s="208">
        <f t="shared" si="1"/>
        <v>24200000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23540000</v>
      </c>
      <c r="F29" s="19"/>
      <c r="I29" s="208">
        <f t="shared" si="1"/>
        <v>23540000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22880000.000000004</v>
      </c>
      <c r="F30" s="35"/>
      <c r="I30" s="208">
        <f t="shared" si="1"/>
        <v>22880000.000000004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20240000</v>
      </c>
      <c r="F31" s="19"/>
      <c r="I31" s="208">
        <f t="shared" si="1"/>
        <v>20240000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19800000</v>
      </c>
      <c r="F32" s="19"/>
      <c r="I32" s="208">
        <f t="shared" si="1"/>
        <v>19800000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18480000</v>
      </c>
      <c r="F33" s="19"/>
      <c r="I33" s="208">
        <f t="shared" si="1"/>
        <v>18480000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17380000</v>
      </c>
      <c r="F34" s="19"/>
      <c r="I34" s="208">
        <f t="shared" si="1"/>
        <v>17380000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17380000</v>
      </c>
      <c r="I35" s="208">
        <f t="shared" si="1"/>
        <v>17380000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17072000</v>
      </c>
      <c r="I36" s="208">
        <f t="shared" si="1"/>
        <v>17072000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16500000</v>
      </c>
      <c r="F37" s="35"/>
      <c r="I37" s="208">
        <f t="shared" si="1"/>
        <v>16500000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14784000.000000002</v>
      </c>
      <c r="I38" s="208">
        <f>(D38/100)*$G$7</f>
        <v>14784000.000000002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14652000.000000002</v>
      </c>
      <c r="I39" s="208">
        <f>(D39/100)*$G$7</f>
        <v>14652000.000000002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14343999.999999998</v>
      </c>
      <c r="I40" s="208">
        <f t="shared" si="1"/>
        <v>14343999.999999998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13904000.000000002</v>
      </c>
      <c r="I41" s="208">
        <f t="shared" si="1"/>
        <v>13904000.000000002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13464000.000000002</v>
      </c>
      <c r="I42" s="208">
        <f t="shared" si="1"/>
        <v>13464000.000000002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10120000</v>
      </c>
      <c r="I43" s="208">
        <f t="shared" si="1"/>
        <v>10120000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451880000</v>
      </c>
      <c r="F44" s="179"/>
      <c r="I44" s="209">
        <f>SUM(I17,I21,I24,I28,I29,I30,SUM(I25:I43))</f>
        <v>522500000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34" zoomScaleNormal="100" zoomScaleSheetLayoutView="100" workbookViewId="0">
      <selection activeCell="D9" sqref="D9:D1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279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440000000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11572000</v>
      </c>
      <c r="F9" s="177"/>
      <c r="G9" s="273"/>
      <c r="I9" s="208">
        <f>(D9/100)*$G$7</f>
        <v>11572000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6996000</v>
      </c>
      <c r="F10" s="177"/>
      <c r="G10" s="273"/>
      <c r="I10" s="208">
        <f t="shared" ref="I10:I43" si="1">(D10/100)*$G$7</f>
        <v>6996000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10956000</v>
      </c>
      <c r="F11" s="177"/>
      <c r="G11" s="273"/>
      <c r="I11" s="208">
        <f t="shared" si="1"/>
        <v>10956000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14388000</v>
      </c>
      <c r="F12" s="177"/>
      <c r="G12" s="273"/>
      <c r="I12" s="208">
        <f t="shared" si="1"/>
        <v>14388000</v>
      </c>
      <c r="P12" s="2" t="s">
        <v>280</v>
      </c>
      <c r="Q12" s="2">
        <f>E17*60%</f>
        <v>46728000</v>
      </c>
      <c r="R12" s="25">
        <f>Q12/100000</f>
        <v>467.28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12452000.000000002</v>
      </c>
      <c r="F13" s="177"/>
      <c r="G13" s="273"/>
      <c r="I13" s="208">
        <f t="shared" si="1"/>
        <v>12452000.000000002</v>
      </c>
      <c r="P13" s="2" t="s">
        <v>281</v>
      </c>
      <c r="Q13" s="2">
        <f>E17*40%</f>
        <v>31152000</v>
      </c>
      <c r="R13" s="25">
        <f>Q13/100000</f>
        <v>311.52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9548000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9548000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2420000.0000000005</v>
      </c>
      <c r="F16" s="177"/>
      <c r="G16" s="273"/>
      <c r="I16" s="208">
        <f t="shared" si="1"/>
        <v>2420000.0000000005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77880000</v>
      </c>
      <c r="F17" s="177"/>
      <c r="G17" s="273"/>
      <c r="I17" s="208">
        <f t="shared" si="1"/>
        <v>77880000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12760000</v>
      </c>
      <c r="F18" s="26"/>
      <c r="I18" s="208">
        <f t="shared" si="1"/>
        <v>12760000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14740000</v>
      </c>
      <c r="F19" s="26"/>
      <c r="G19" s="213"/>
      <c r="I19" s="208">
        <f t="shared" si="1"/>
        <v>14740000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12760000</v>
      </c>
      <c r="F20" s="26"/>
      <c r="I20" s="208">
        <f t="shared" si="1"/>
        <v>12760000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40260000</v>
      </c>
      <c r="F21" s="19"/>
      <c r="I21" s="208">
        <f t="shared" si="1"/>
        <v>40260000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15840000.000000002</v>
      </c>
      <c r="F22" s="19"/>
      <c r="I22" s="208">
        <f t="shared" si="1"/>
        <v>15840000.000000002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14300000</v>
      </c>
      <c r="F23" s="19"/>
      <c r="I23" s="208">
        <f t="shared" si="1"/>
        <v>14300000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30139999.999999996</v>
      </c>
      <c r="F24" s="19"/>
      <c r="I24" s="208">
        <f t="shared" si="1"/>
        <v>30139999.999999996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12100000</v>
      </c>
      <c r="F25" s="19"/>
      <c r="I25" s="208">
        <f>(D25/100)*$G$7</f>
        <v>12100000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12760000</v>
      </c>
      <c r="F26" s="19"/>
      <c r="I26" s="208">
        <f>(D26/100)*$G$7</f>
        <v>12760000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24860000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24200000</v>
      </c>
      <c r="F28" s="19"/>
      <c r="I28" s="208">
        <f t="shared" si="1"/>
        <v>24200000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23540000</v>
      </c>
      <c r="F29" s="19"/>
      <c r="I29" s="208">
        <f t="shared" si="1"/>
        <v>23540000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22880000.000000004</v>
      </c>
      <c r="F30" s="35"/>
      <c r="I30" s="208">
        <f t="shared" si="1"/>
        <v>22880000.000000004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20240000</v>
      </c>
      <c r="F31" s="19"/>
      <c r="I31" s="208">
        <f t="shared" si="1"/>
        <v>20240000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19800000</v>
      </c>
      <c r="F32" s="19"/>
      <c r="I32" s="208">
        <f t="shared" si="1"/>
        <v>19800000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18480000</v>
      </c>
      <c r="F33" s="19"/>
      <c r="I33" s="208">
        <f t="shared" si="1"/>
        <v>18480000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17380000</v>
      </c>
      <c r="F34" s="19"/>
      <c r="I34" s="208">
        <f t="shared" si="1"/>
        <v>17380000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17380000</v>
      </c>
      <c r="I35" s="208">
        <f t="shared" si="1"/>
        <v>17380000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17072000</v>
      </c>
      <c r="I36" s="208">
        <f t="shared" si="1"/>
        <v>17072000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16500000</v>
      </c>
      <c r="F37" s="35"/>
      <c r="I37" s="208">
        <f t="shared" si="1"/>
        <v>16500000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14784000.000000002</v>
      </c>
      <c r="I38" s="208">
        <f>(D38/100)*$G$7</f>
        <v>14784000.000000002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14652000.000000002</v>
      </c>
      <c r="I39" s="208">
        <f>(D39/100)*$G$7</f>
        <v>14652000.000000002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14343999.999999998</v>
      </c>
      <c r="I40" s="208">
        <f t="shared" si="1"/>
        <v>14343999.999999998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13904000.000000002</v>
      </c>
      <c r="I41" s="208">
        <f t="shared" si="1"/>
        <v>13904000.000000002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13464000.000000002</v>
      </c>
      <c r="I42" s="208">
        <f t="shared" si="1"/>
        <v>13464000.000000002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10120000</v>
      </c>
      <c r="I43" s="208">
        <f t="shared" si="1"/>
        <v>10120000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451880000</v>
      </c>
      <c r="F44" s="179"/>
      <c r="I44" s="209">
        <f>SUM(I17,I21,I24,I28,I29,I30,SUM(I25:I43))</f>
        <v>522500000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24:C24"/>
    <mergeCell ref="B27:C27"/>
    <mergeCell ref="B8:C8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N57"/>
  <sheetViews>
    <sheetView showGridLines="0" view="pageBreakPreview" zoomScale="115" zoomScaleNormal="100" zoomScaleSheetLayoutView="115" workbookViewId="0">
      <selection activeCell="F18" sqref="F18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9.75" customHeight="1" x14ac:dyDescent="0.25">
      <c r="A4" s="15"/>
      <c r="B4" s="15"/>
      <c r="C4" s="15"/>
      <c r="D4" s="16"/>
      <c r="E4" s="15"/>
    </row>
    <row r="5" spans="1:14" ht="9.75" customHeight="1" x14ac:dyDescent="0.25">
      <c r="A5" s="15"/>
      <c r="B5" s="15"/>
      <c r="C5" s="15"/>
      <c r="D5" s="16"/>
      <c r="E5" s="15"/>
    </row>
    <row r="6" spans="1:14" ht="16.5" customHeight="1" thickBot="1" x14ac:dyDescent="0.3">
      <c r="A6" s="401" t="s">
        <v>264</v>
      </c>
      <c r="B6" s="402"/>
      <c r="C6" s="402"/>
      <c r="D6" s="402"/>
      <c r="E6" s="402"/>
    </row>
    <row r="7" spans="1:14" s="20" customFormat="1" ht="13.5" customHeight="1" thickBot="1" x14ac:dyDescent="0.3">
      <c r="D7" s="21"/>
      <c r="H7" s="193"/>
      <c r="I7" s="194"/>
      <c r="J7" s="194"/>
      <c r="K7" s="202" t="s">
        <v>260</v>
      </c>
      <c r="L7" s="205">
        <v>390000000</v>
      </c>
    </row>
    <row r="8" spans="1:14" s="3" customFormat="1" ht="24.9" customHeight="1" x14ac:dyDescent="0.25">
      <c r="A8" s="33" t="s">
        <v>76</v>
      </c>
      <c r="B8" s="110" t="s">
        <v>115</v>
      </c>
      <c r="C8" s="111"/>
      <c r="D8" s="34" t="s">
        <v>77</v>
      </c>
      <c r="E8" s="34" t="s">
        <v>78</v>
      </c>
      <c r="H8" s="203" t="s">
        <v>258</v>
      </c>
      <c r="J8" s="203" t="s">
        <v>259</v>
      </c>
      <c r="L8" s="204" t="s">
        <v>261</v>
      </c>
      <c r="N8" s="208"/>
    </row>
    <row r="9" spans="1:14" s="2" customFormat="1" ht="18" customHeight="1" x14ac:dyDescent="0.25">
      <c r="A9" s="37"/>
      <c r="B9" s="101" t="s">
        <v>79</v>
      </c>
      <c r="C9" s="102"/>
      <c r="D9" s="221">
        <v>2.6310256410256407</v>
      </c>
      <c r="E9" s="43">
        <f>(D9/100)*$L$7</f>
        <v>10260999.999999998</v>
      </c>
      <c r="F9" s="177"/>
      <c r="H9" s="201">
        <v>3.49</v>
      </c>
      <c r="I9" s="191">
        <f>(H9/100)*$L$7</f>
        <v>13611000</v>
      </c>
      <c r="J9" s="192">
        <f>D9-H9</f>
        <v>-0.85897435897435948</v>
      </c>
      <c r="K9" s="206">
        <f>(J9/100)*$L$7</f>
        <v>-3350000.0000000019</v>
      </c>
      <c r="L9" s="196">
        <f>I9+K9</f>
        <v>10260999.999999998</v>
      </c>
      <c r="N9" s="208">
        <f>(D9/100)*$L$7</f>
        <v>10260999.999999998</v>
      </c>
    </row>
    <row r="10" spans="1:14" s="2" customFormat="1" ht="18" customHeight="1" x14ac:dyDescent="0.25">
      <c r="A10" s="37"/>
      <c r="B10" s="101" t="s">
        <v>80</v>
      </c>
      <c r="C10" s="102"/>
      <c r="D10" s="221">
        <v>1.5861538461538462</v>
      </c>
      <c r="E10" s="43">
        <f>(D10/100)*$L$7</f>
        <v>6186000</v>
      </c>
      <c r="F10" s="177"/>
      <c r="H10" s="195">
        <v>1.39</v>
      </c>
      <c r="I10" s="191">
        <f t="shared" ref="I10:I15" si="0">(H10/100)*$L$7</f>
        <v>5421000</v>
      </c>
      <c r="J10" s="192">
        <f t="shared" ref="J10:J17" si="1">D10-H10</f>
        <v>0.19615384615384635</v>
      </c>
      <c r="K10" s="206">
        <f t="shared" ref="K10:K15" si="2">(J10/100)*$L$7</f>
        <v>765000.0000000007</v>
      </c>
      <c r="L10" s="196">
        <f t="shared" ref="L10:L15" si="3">I10+K10</f>
        <v>6186000.0000000009</v>
      </c>
      <c r="N10" s="208">
        <f t="shared" ref="N10:N43" si="4">(D10/100)*$L$7</f>
        <v>6186000</v>
      </c>
    </row>
    <row r="11" spans="1:14" s="2" customFormat="1" ht="18" customHeight="1" x14ac:dyDescent="0.25">
      <c r="A11" s="37"/>
      <c r="B11" s="101" t="s">
        <v>81</v>
      </c>
      <c r="C11" s="102"/>
      <c r="D11" s="221">
        <v>2.4866666666666664</v>
      </c>
      <c r="E11" s="43">
        <f t="shared" ref="E11:E15" si="5">(D11/100)*$L$7</f>
        <v>9697999.9999999981</v>
      </c>
      <c r="F11" s="177"/>
      <c r="H11" s="195">
        <v>2.83</v>
      </c>
      <c r="I11" s="191">
        <f t="shared" si="0"/>
        <v>11037000</v>
      </c>
      <c r="J11" s="192">
        <f t="shared" si="1"/>
        <v>-0.34333333333333371</v>
      </c>
      <c r="K11" s="206">
        <f t="shared" si="2"/>
        <v>-1339000.0000000016</v>
      </c>
      <c r="L11" s="196">
        <f t="shared" si="3"/>
        <v>9697999.9999999981</v>
      </c>
      <c r="N11" s="208">
        <f t="shared" si="4"/>
        <v>9697999.9999999981</v>
      </c>
    </row>
    <row r="12" spans="1:14" s="2" customFormat="1" ht="18" customHeight="1" x14ac:dyDescent="0.25">
      <c r="A12" s="37"/>
      <c r="B12" s="101" t="s">
        <v>82</v>
      </c>
      <c r="C12" s="102"/>
      <c r="D12" s="221">
        <v>3.2733333333333334</v>
      </c>
      <c r="E12" s="43">
        <f t="shared" si="5"/>
        <v>12766000.000000002</v>
      </c>
      <c r="F12" s="177"/>
      <c r="H12" s="195">
        <v>2.88</v>
      </c>
      <c r="I12" s="191">
        <f t="shared" si="0"/>
        <v>11232000</v>
      </c>
      <c r="J12" s="192">
        <f t="shared" si="1"/>
        <v>0.39333333333333353</v>
      </c>
      <c r="K12" s="206">
        <f t="shared" si="2"/>
        <v>1534000.0000000009</v>
      </c>
      <c r="L12" s="196">
        <f t="shared" si="3"/>
        <v>12766000</v>
      </c>
      <c r="N12" s="208">
        <f t="shared" si="4"/>
        <v>12766000.000000002</v>
      </c>
    </row>
    <row r="13" spans="1:14" s="2" customFormat="1" ht="18" customHeight="1" x14ac:dyDescent="0.25">
      <c r="A13" s="37"/>
      <c r="B13" s="101" t="s">
        <v>83</v>
      </c>
      <c r="C13" s="102"/>
      <c r="D13" s="221">
        <v>2.8317948717948718</v>
      </c>
      <c r="E13" s="43">
        <f t="shared" si="5"/>
        <v>11044000</v>
      </c>
      <c r="F13" s="177"/>
      <c r="H13" s="195">
        <v>2.58</v>
      </c>
      <c r="I13" s="191">
        <f t="shared" si="0"/>
        <v>10062000</v>
      </c>
      <c r="J13" s="192">
        <f t="shared" si="1"/>
        <v>0.2517948717948717</v>
      </c>
      <c r="K13" s="206">
        <f t="shared" si="2"/>
        <v>981999.99999999953</v>
      </c>
      <c r="L13" s="196">
        <f t="shared" si="3"/>
        <v>11044000</v>
      </c>
      <c r="N13" s="208">
        <f t="shared" si="4"/>
        <v>11044000</v>
      </c>
    </row>
    <row r="14" spans="1:14" s="2" customFormat="1" ht="18" customHeight="1" x14ac:dyDescent="0.25">
      <c r="A14" s="37"/>
      <c r="B14" s="101" t="s">
        <v>84</v>
      </c>
      <c r="C14" s="102"/>
      <c r="D14" s="221">
        <v>2.1653846153846157</v>
      </c>
      <c r="E14" s="43">
        <f t="shared" si="5"/>
        <v>8445000</v>
      </c>
      <c r="F14" s="177"/>
      <c r="H14" s="195"/>
      <c r="I14" s="191">
        <f t="shared" si="0"/>
        <v>0</v>
      </c>
      <c r="J14" s="192"/>
      <c r="K14" s="206">
        <f t="shared" si="2"/>
        <v>0</v>
      </c>
      <c r="L14" s="196">
        <f t="shared" si="3"/>
        <v>0</v>
      </c>
      <c r="N14" s="208"/>
    </row>
    <row r="15" spans="1:14" s="2" customFormat="1" ht="18" customHeight="1" x14ac:dyDescent="0.25">
      <c r="A15" s="37"/>
      <c r="B15" s="101" t="s">
        <v>268</v>
      </c>
      <c r="C15" s="102"/>
      <c r="D15" s="221">
        <v>2.1692307692307691</v>
      </c>
      <c r="E15" s="43">
        <f t="shared" si="5"/>
        <v>8460000</v>
      </c>
      <c r="F15" s="177"/>
      <c r="H15" s="195"/>
      <c r="I15" s="191">
        <f t="shared" si="0"/>
        <v>0</v>
      </c>
      <c r="J15" s="192"/>
      <c r="K15" s="206">
        <f t="shared" si="2"/>
        <v>0</v>
      </c>
      <c r="L15" s="196">
        <f t="shared" si="3"/>
        <v>0</v>
      </c>
      <c r="N15" s="208"/>
    </row>
    <row r="16" spans="1:14" s="2" customFormat="1" ht="18" customHeight="1" x14ac:dyDescent="0.25">
      <c r="A16" s="37"/>
      <c r="B16" s="101" t="s">
        <v>269</v>
      </c>
      <c r="C16" s="102"/>
      <c r="D16" s="221">
        <v>0.55641025641025632</v>
      </c>
      <c r="E16" s="43">
        <f>(D16/100)*$L$7</f>
        <v>2169999.9999999995</v>
      </c>
      <c r="F16" s="177"/>
      <c r="H16" s="195">
        <v>1.83</v>
      </c>
      <c r="I16" s="191">
        <f t="shared" ref="I16:I17" si="6">(H16/100)*$L$7</f>
        <v>7137000</v>
      </c>
      <c r="J16" s="192">
        <f t="shared" si="1"/>
        <v>-1.2735897435897439</v>
      </c>
      <c r="K16" s="206">
        <f t="shared" ref="K16" si="7">(J16/100)*$L$7</f>
        <v>-4967000.0000000009</v>
      </c>
      <c r="L16" s="196">
        <f t="shared" ref="L16" si="8">I16+K16</f>
        <v>2169999.9999999991</v>
      </c>
      <c r="N16" s="208">
        <f t="shared" si="4"/>
        <v>2169999.9999999995</v>
      </c>
    </row>
    <row r="17" spans="1:14" s="3" customFormat="1" ht="18" customHeight="1" thickBot="1" x14ac:dyDescent="0.3">
      <c r="A17" s="40">
        <v>1</v>
      </c>
      <c r="B17" s="108" t="s">
        <v>112</v>
      </c>
      <c r="C17" s="109"/>
      <c r="D17" s="255">
        <f>SUM(D9:D16)</f>
        <v>17.7</v>
      </c>
      <c r="E17" s="44">
        <f>(D17/100)*$L$7</f>
        <v>69030000</v>
      </c>
      <c r="F17" s="177"/>
      <c r="H17" s="197">
        <f>SUM(H9:H16)</f>
        <v>15</v>
      </c>
      <c r="I17" s="198">
        <f t="shared" si="6"/>
        <v>58500000</v>
      </c>
      <c r="J17" s="199">
        <f t="shared" si="1"/>
        <v>2.6999999999999993</v>
      </c>
      <c r="K17" s="207">
        <f>(J17/100)*$L$7</f>
        <v>10529999.999999996</v>
      </c>
      <c r="L17" s="200">
        <f>I17+K17</f>
        <v>69030000</v>
      </c>
      <c r="N17" s="208">
        <f t="shared" si="4"/>
        <v>69030000</v>
      </c>
    </row>
    <row r="18" spans="1:14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(D18/100)*$L$7</f>
        <v>11310000</v>
      </c>
      <c r="F18" s="26"/>
      <c r="H18" s="107"/>
      <c r="N18" s="208">
        <f t="shared" si="4"/>
        <v>11310000</v>
      </c>
    </row>
    <row r="19" spans="1:14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9">(D19/100)*$L$7</f>
        <v>13065000</v>
      </c>
      <c r="F19" s="26"/>
      <c r="H19" s="107"/>
      <c r="L19" s="213">
        <f>L7*D17%/100000</f>
        <v>690.3</v>
      </c>
      <c r="N19" s="208">
        <f t="shared" si="4"/>
        <v>13065000</v>
      </c>
    </row>
    <row r="20" spans="1:14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9"/>
        <v>11310000</v>
      </c>
      <c r="F20" s="26"/>
      <c r="H20" s="107"/>
      <c r="J20" s="27"/>
      <c r="N20" s="208">
        <f t="shared" si="4"/>
        <v>11310000</v>
      </c>
    </row>
    <row r="21" spans="1:14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(D21/100)*$L$7</f>
        <v>35685000</v>
      </c>
      <c r="F21" s="19"/>
      <c r="H21" s="19"/>
      <c r="N21" s="208">
        <f t="shared" si="4"/>
        <v>35685000</v>
      </c>
    </row>
    <row r="22" spans="1:14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9"/>
        <v>14040000.000000002</v>
      </c>
      <c r="F22" s="19"/>
      <c r="H22" s="19"/>
      <c r="N22" s="208">
        <f t="shared" si="4"/>
        <v>14040000.000000002</v>
      </c>
    </row>
    <row r="23" spans="1:14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9"/>
        <v>12675000</v>
      </c>
      <c r="F23" s="19"/>
      <c r="H23" s="19"/>
      <c r="N23" s="208">
        <f t="shared" si="4"/>
        <v>12675000</v>
      </c>
    </row>
    <row r="24" spans="1:14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(D24/100)*$L$7</f>
        <v>26714999.999999996</v>
      </c>
      <c r="F24" s="19"/>
      <c r="H24" s="19"/>
      <c r="N24" s="208">
        <f t="shared" si="4"/>
        <v>26714999.999999996</v>
      </c>
    </row>
    <row r="25" spans="1:14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(D25/100)*$L$7</f>
        <v>10725000</v>
      </c>
      <c r="F25" s="19"/>
      <c r="H25" s="19"/>
      <c r="N25" s="208">
        <f>(D25/100)*$L$7</f>
        <v>10725000</v>
      </c>
    </row>
    <row r="26" spans="1:14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(D26/100)*$L$7</f>
        <v>11310000</v>
      </c>
      <c r="F26" s="19"/>
      <c r="H26" s="19"/>
      <c r="N26" s="208">
        <f>(D26/100)*$L$7</f>
        <v>11310000</v>
      </c>
    </row>
    <row r="27" spans="1:14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(D27/100)*$L$7</f>
        <v>22035000</v>
      </c>
      <c r="F27" s="19"/>
      <c r="H27" s="19"/>
      <c r="N27" s="208"/>
    </row>
    <row r="28" spans="1:14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9"/>
        <v>21450000</v>
      </c>
      <c r="F28" s="19"/>
      <c r="H28" s="19"/>
      <c r="N28" s="208">
        <f t="shared" si="4"/>
        <v>21450000</v>
      </c>
    </row>
    <row r="29" spans="1:14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9"/>
        <v>20865000</v>
      </c>
      <c r="F29" s="19"/>
      <c r="H29" s="19"/>
      <c r="N29" s="208">
        <f t="shared" si="4"/>
        <v>20865000</v>
      </c>
    </row>
    <row r="30" spans="1:14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(D30/100)*$L$7</f>
        <v>20280000</v>
      </c>
      <c r="F30" s="35"/>
      <c r="H30" s="19"/>
      <c r="N30" s="208">
        <f t="shared" si="4"/>
        <v>20280000</v>
      </c>
    </row>
    <row r="31" spans="1:14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9"/>
        <v>17940000</v>
      </c>
      <c r="F31" s="19"/>
      <c r="H31" s="28"/>
      <c r="N31" s="208">
        <f t="shared" si="4"/>
        <v>17940000</v>
      </c>
    </row>
    <row r="32" spans="1:14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9"/>
        <v>17550000</v>
      </c>
      <c r="F32" s="19"/>
      <c r="H32" s="28"/>
      <c r="N32" s="208">
        <f t="shared" si="4"/>
        <v>17550000</v>
      </c>
    </row>
    <row r="33" spans="1:14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9"/>
        <v>16380000.000000002</v>
      </c>
      <c r="F33" s="19"/>
      <c r="G33" s="19"/>
      <c r="H33" s="19"/>
      <c r="N33" s="208">
        <f t="shared" si="4"/>
        <v>16380000.000000002</v>
      </c>
    </row>
    <row r="34" spans="1:14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9"/>
        <v>15405000</v>
      </c>
      <c r="F34" s="19"/>
      <c r="G34" s="19"/>
      <c r="H34" s="19"/>
      <c r="N34" s="208">
        <f t="shared" si="4"/>
        <v>15405000</v>
      </c>
    </row>
    <row r="35" spans="1:14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9"/>
        <v>15405000</v>
      </c>
      <c r="N35" s="208">
        <f t="shared" si="4"/>
        <v>15405000</v>
      </c>
    </row>
    <row r="36" spans="1:14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9"/>
        <v>15132000</v>
      </c>
      <c r="N36" s="208">
        <f t="shared" si="4"/>
        <v>15132000</v>
      </c>
    </row>
    <row r="37" spans="1:14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9"/>
        <v>14625000</v>
      </c>
      <c r="F37" s="35"/>
      <c r="N37" s="208">
        <f t="shared" si="4"/>
        <v>14625000</v>
      </c>
    </row>
    <row r="38" spans="1:14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(D38/100)*$L$7</f>
        <v>13104000.000000002</v>
      </c>
      <c r="N38" s="208">
        <f>(D38/100)*$L$7</f>
        <v>13104000.000000002</v>
      </c>
    </row>
    <row r="39" spans="1:14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(D39/100)*$L$7</f>
        <v>12987000.000000002</v>
      </c>
      <c r="N39" s="208">
        <f>(D39/100)*$L$7</f>
        <v>12987000.000000002</v>
      </c>
    </row>
    <row r="40" spans="1:14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9"/>
        <v>12713999.999999998</v>
      </c>
      <c r="N40" s="208">
        <f t="shared" si="4"/>
        <v>12713999.999999998</v>
      </c>
    </row>
    <row r="41" spans="1:14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9"/>
        <v>12324000.000000002</v>
      </c>
      <c r="N41" s="208">
        <f t="shared" si="4"/>
        <v>12324000.000000002</v>
      </c>
    </row>
    <row r="42" spans="1:14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9"/>
        <v>11934000.000000002</v>
      </c>
      <c r="N42" s="208">
        <f t="shared" si="4"/>
        <v>11934000.000000002</v>
      </c>
    </row>
    <row r="43" spans="1:14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9"/>
        <v>8970000</v>
      </c>
      <c r="N43" s="208">
        <f t="shared" si="4"/>
        <v>8970000</v>
      </c>
    </row>
    <row r="44" spans="1:14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400530000</v>
      </c>
      <c r="F44" s="179"/>
      <c r="N44" s="209">
        <f>SUM(N17,N21,N24,N28,N29,N30,SUM(N25:N43))</f>
        <v>463125000</v>
      </c>
    </row>
    <row r="45" spans="1:14" ht="18" customHeight="1" x14ac:dyDescent="0.25">
      <c r="A45" s="48"/>
      <c r="B45" s="48"/>
      <c r="C45" s="48"/>
      <c r="D45" s="21"/>
      <c r="E45" s="49"/>
    </row>
    <row r="46" spans="1:14" ht="18" customHeight="1" x14ac:dyDescent="0.25">
      <c r="A46" s="48"/>
      <c r="B46" s="48"/>
      <c r="C46" s="48"/>
      <c r="D46" s="21"/>
      <c r="E46" s="49"/>
    </row>
    <row r="47" spans="1:14" x14ac:dyDescent="0.25">
      <c r="A47" s="31"/>
      <c r="B47" s="31"/>
      <c r="C47" s="31"/>
    </row>
    <row r="48" spans="1:14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3">
    <mergeCell ref="A6:E6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zoomScale="70" zoomScaleNormal="70" zoomScaleSheetLayoutView="70" workbookViewId="0">
      <pane ySplit="8" topLeftCell="A9" activePane="bottomLeft" state="frozen"/>
      <selection pane="bottomLeft" activeCell="AD22" sqref="AD22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7" width="12.6640625" style="53" hidden="1" customWidth="1"/>
    <col min="8" max="8" width="12.6640625" style="61" customWidth="1"/>
    <col min="9" max="11" width="12.6640625" style="61" hidden="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20" width="12.6640625" style="53" hidden="1" customWidth="1"/>
    <col min="21" max="21" width="12.6640625" style="53" customWidth="1"/>
    <col min="22" max="24" width="12.6640625" style="53" hidden="1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253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175" t="s">
        <v>236</v>
      </c>
      <c r="G8" s="175" t="s">
        <v>245</v>
      </c>
      <c r="H8" s="67" t="s">
        <v>248</v>
      </c>
      <c r="I8" s="175" t="s">
        <v>255</v>
      </c>
      <c r="J8" s="175" t="s">
        <v>228</v>
      </c>
      <c r="K8" s="175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175" t="s">
        <v>236</v>
      </c>
      <c r="T8" s="175" t="s">
        <v>245</v>
      </c>
      <c r="U8" s="67" t="s">
        <v>248</v>
      </c>
      <c r="V8" s="175" t="s">
        <v>255</v>
      </c>
      <c r="W8" s="175" t="s">
        <v>228</v>
      </c>
      <c r="X8" s="175" t="s">
        <v>229</v>
      </c>
      <c r="Y8" s="67" t="s">
        <v>119</v>
      </c>
    </row>
    <row r="9" spans="1:26" s="55" customFormat="1" ht="20.10000000000000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65000</v>
      </c>
      <c r="I9" s="129">
        <v>52108</v>
      </c>
      <c r="J9" s="129">
        <v>4620</v>
      </c>
      <c r="K9" s="129">
        <v>58764</v>
      </c>
      <c r="L9" s="129">
        <f>E9*H9/1000</f>
        <v>36544.300000000003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3200</v>
      </c>
      <c r="T9" s="129">
        <v>3500</v>
      </c>
      <c r="U9" s="129">
        <v>3500</v>
      </c>
      <c r="V9" s="129">
        <v>2737</v>
      </c>
      <c r="W9" s="129">
        <v>463</v>
      </c>
      <c r="X9" s="129">
        <v>2706</v>
      </c>
      <c r="Y9" s="129">
        <f>R9*U9/1000</f>
        <v>658.03499999999997</v>
      </c>
    </row>
    <row r="10" spans="1:26" s="55" customFormat="1" ht="20.10000000000000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35000</v>
      </c>
      <c r="H10" s="129">
        <v>36000</v>
      </c>
      <c r="I10" s="129">
        <v>28890</v>
      </c>
      <c r="J10" s="129">
        <v>4182</v>
      </c>
      <c r="K10" s="129">
        <v>31034</v>
      </c>
      <c r="L10" s="129">
        <f t="shared" ref="L10:L28" si="0">E10*H10/1000</f>
        <v>13493.16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50000</v>
      </c>
      <c r="T10" s="129">
        <v>55000</v>
      </c>
      <c r="U10" s="129">
        <v>50000</v>
      </c>
      <c r="V10" s="129">
        <v>32800</v>
      </c>
      <c r="W10" s="129">
        <v>30</v>
      </c>
      <c r="X10" s="129">
        <v>32695</v>
      </c>
      <c r="Y10" s="129">
        <f t="shared" ref="Y10:Y34" si="1">R10*U10/1000</f>
        <v>9760.9999999999982</v>
      </c>
    </row>
    <row r="11" spans="1:26" s="55" customFormat="1" ht="20.10000000000000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42000</v>
      </c>
      <c r="H11" s="129">
        <v>42000</v>
      </c>
      <c r="I11" s="129">
        <v>32818</v>
      </c>
      <c r="J11" s="129">
        <v>4784</v>
      </c>
      <c r="K11" s="129">
        <v>34395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366</v>
      </c>
      <c r="W11" s="129">
        <v>59</v>
      </c>
      <c r="X11" s="129">
        <v>346</v>
      </c>
      <c r="Y11" s="129">
        <f t="shared" si="1"/>
        <v>247.38</v>
      </c>
    </row>
    <row r="12" spans="1:26" s="55" customFormat="1" ht="20.10000000000000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60000</v>
      </c>
      <c r="G12" s="129">
        <v>64000</v>
      </c>
      <c r="H12" s="129">
        <v>65000</v>
      </c>
      <c r="I12" s="129">
        <v>52300</v>
      </c>
      <c r="J12" s="129">
        <v>7084</v>
      </c>
      <c r="K12" s="129">
        <v>56237</v>
      </c>
      <c r="L12" s="129">
        <f t="shared" si="0"/>
        <v>32158.75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12000</v>
      </c>
      <c r="T12" s="129">
        <v>12000</v>
      </c>
      <c r="U12" s="129">
        <v>12000</v>
      </c>
      <c r="V12" s="129">
        <v>8976</v>
      </c>
      <c r="W12" s="129">
        <v>2194</v>
      </c>
      <c r="X12" s="129">
        <v>7944</v>
      </c>
      <c r="Y12" s="129">
        <f>R12*U12/1000</f>
        <v>1709.16</v>
      </c>
    </row>
    <row r="13" spans="1:26" s="55" customFormat="1" ht="20.10000000000000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70000</v>
      </c>
      <c r="G13" s="129">
        <v>75000</v>
      </c>
      <c r="H13" s="129">
        <v>75000</v>
      </c>
      <c r="I13" s="129">
        <v>62228</v>
      </c>
      <c r="J13" s="129">
        <v>9281</v>
      </c>
      <c r="K13" s="129">
        <v>65591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6500</v>
      </c>
      <c r="T13" s="129">
        <v>7000</v>
      </c>
      <c r="U13" s="129">
        <v>7000</v>
      </c>
      <c r="V13" s="129">
        <v>6420</v>
      </c>
      <c r="W13" s="129">
        <v>1248</v>
      </c>
      <c r="X13" s="129">
        <v>5906</v>
      </c>
      <c r="Y13" s="129">
        <f t="shared" si="1"/>
        <v>1579.48</v>
      </c>
    </row>
    <row r="14" spans="1:26" s="55" customFormat="1" ht="20.10000000000000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34000</v>
      </c>
      <c r="G14" s="129">
        <v>35000</v>
      </c>
      <c r="H14" s="129">
        <v>35000</v>
      </c>
      <c r="I14" s="129">
        <v>28633</v>
      </c>
      <c r="J14" s="129">
        <v>4132</v>
      </c>
      <c r="K14" s="129">
        <v>29830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11000</v>
      </c>
      <c r="T14" s="129">
        <v>12000</v>
      </c>
      <c r="U14" s="129">
        <v>12000</v>
      </c>
      <c r="V14" s="129">
        <v>7809</v>
      </c>
      <c r="W14" s="129">
        <v>930</v>
      </c>
      <c r="X14" s="129">
        <v>8252</v>
      </c>
      <c r="Y14" s="129">
        <f t="shared" si="1"/>
        <v>4497.72</v>
      </c>
      <c r="Z14" s="55" t="s">
        <v>138</v>
      </c>
    </row>
    <row r="15" spans="1:26" s="55" customFormat="1" ht="20.10000000000000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100000</v>
      </c>
      <c r="G15" s="129">
        <v>105000</v>
      </c>
      <c r="H15" s="129">
        <v>105000</v>
      </c>
      <c r="I15" s="129">
        <v>77759</v>
      </c>
      <c r="J15" s="129">
        <v>9014</v>
      </c>
      <c r="K15" s="129">
        <v>84556</v>
      </c>
      <c r="L15" s="129">
        <f t="shared" si="0"/>
        <v>47226.9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36000</v>
      </c>
      <c r="T15" s="129">
        <v>37000</v>
      </c>
      <c r="U15" s="129">
        <v>35000</v>
      </c>
      <c r="V15" s="129">
        <v>26285</v>
      </c>
      <c r="W15" s="129">
        <v>-503</v>
      </c>
      <c r="X15" s="129">
        <v>30719</v>
      </c>
      <c r="Y15" s="129">
        <f t="shared" si="1"/>
        <v>2623.6</v>
      </c>
    </row>
    <row r="16" spans="1:26" s="55" customFormat="1" ht="20.10000000000000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32000</v>
      </c>
      <c r="G16" s="129">
        <v>35000</v>
      </c>
      <c r="H16" s="129">
        <v>35000</v>
      </c>
      <c r="I16" s="129">
        <v>28842</v>
      </c>
      <c r="J16" s="129">
        <v>5729</v>
      </c>
      <c r="K16" s="129">
        <v>27216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2000</v>
      </c>
      <c r="T16" s="129">
        <v>2000</v>
      </c>
      <c r="U16" s="129">
        <v>2000</v>
      </c>
      <c r="V16" s="129">
        <v>1428</v>
      </c>
      <c r="W16" s="129">
        <v>275</v>
      </c>
      <c r="X16" s="129">
        <v>1335</v>
      </c>
      <c r="Y16" s="129">
        <f t="shared" si="1"/>
        <v>112.44</v>
      </c>
    </row>
    <row r="17" spans="1:25" s="55" customFormat="1" ht="20.10000000000000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35000</v>
      </c>
      <c r="G17" s="129">
        <v>40000</v>
      </c>
      <c r="H17" s="129">
        <v>38000</v>
      </c>
      <c r="I17" s="129">
        <v>21156</v>
      </c>
      <c r="J17" s="129">
        <v>1311</v>
      </c>
      <c r="K17" s="129">
        <v>22221</v>
      </c>
      <c r="L17" s="129">
        <f t="shared" si="0"/>
        <v>8189.76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2000</v>
      </c>
      <c r="T17" s="129">
        <v>2000</v>
      </c>
      <c r="U17" s="129">
        <v>2000</v>
      </c>
      <c r="V17" s="129">
        <v>1113</v>
      </c>
      <c r="W17" s="129">
        <v>152</v>
      </c>
      <c r="X17" s="129">
        <v>1102</v>
      </c>
      <c r="Y17" s="129">
        <f t="shared" si="1"/>
        <v>299.86</v>
      </c>
    </row>
    <row r="18" spans="1:25" s="55" customFormat="1" ht="20.10000000000000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18000</v>
      </c>
      <c r="G18" s="129">
        <v>18000</v>
      </c>
      <c r="H18" s="129">
        <v>18000</v>
      </c>
      <c r="I18" s="129">
        <v>12116</v>
      </c>
      <c r="J18" s="129">
        <v>2505</v>
      </c>
      <c r="K18" s="129">
        <v>11086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2500</v>
      </c>
      <c r="T18" s="129">
        <v>2500</v>
      </c>
      <c r="U18" s="129">
        <v>2500</v>
      </c>
      <c r="V18" s="129">
        <v>1469</v>
      </c>
      <c r="W18" s="129">
        <v>207</v>
      </c>
      <c r="X18" s="129">
        <v>1521</v>
      </c>
      <c r="Y18" s="129">
        <f t="shared" si="1"/>
        <v>899.55</v>
      </c>
    </row>
    <row r="19" spans="1:25" s="55" customFormat="1" ht="20.10000000000000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12000</v>
      </c>
      <c r="G19" s="129">
        <v>12000</v>
      </c>
      <c r="H19" s="129">
        <v>12000</v>
      </c>
      <c r="I19" s="129">
        <v>7722</v>
      </c>
      <c r="J19" s="129">
        <v>1837</v>
      </c>
      <c r="K19" s="129">
        <v>6780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4000</v>
      </c>
      <c r="T19" s="129">
        <v>4000</v>
      </c>
      <c r="U19" s="129">
        <v>4000</v>
      </c>
      <c r="V19" s="129">
        <v>2554</v>
      </c>
      <c r="W19" s="129">
        <v>326</v>
      </c>
      <c r="X19" s="129">
        <v>2525</v>
      </c>
      <c r="Y19" s="129">
        <f t="shared" si="1"/>
        <v>629.67999999999995</v>
      </c>
    </row>
    <row r="20" spans="1:25" s="55" customFormat="1" ht="20.10000000000000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18000</v>
      </c>
      <c r="G20" s="129">
        <v>20000</v>
      </c>
      <c r="H20" s="129">
        <v>20000</v>
      </c>
      <c r="I20" s="129">
        <v>14219</v>
      </c>
      <c r="J20" s="129">
        <v>1521</v>
      </c>
      <c r="K20" s="129">
        <v>14718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10000</v>
      </c>
      <c r="T20" s="129">
        <v>10000</v>
      </c>
      <c r="U20" s="129">
        <v>10000</v>
      </c>
      <c r="V20" s="129">
        <v>4684</v>
      </c>
      <c r="W20" s="129">
        <v>901</v>
      </c>
      <c r="X20" s="129">
        <v>4545</v>
      </c>
      <c r="Y20" s="129">
        <f t="shared" si="1"/>
        <v>3148.3999999999996</v>
      </c>
    </row>
    <row r="21" spans="1:25" s="55" customFormat="1" ht="20.10000000000000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40000</v>
      </c>
      <c r="G21" s="129">
        <v>40000</v>
      </c>
      <c r="H21" s="129">
        <v>35000</v>
      </c>
      <c r="I21" s="129">
        <v>29732</v>
      </c>
      <c r="J21" s="129">
        <v>-5494</v>
      </c>
      <c r="K21" s="129">
        <v>35571</v>
      </c>
      <c r="L21" s="129">
        <f t="shared" si="0"/>
        <v>8445.5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6500</v>
      </c>
      <c r="T21" s="129">
        <v>6500</v>
      </c>
      <c r="U21" s="129">
        <v>6500</v>
      </c>
      <c r="V21" s="129">
        <v>4853</v>
      </c>
      <c r="W21" s="129">
        <v>-83</v>
      </c>
      <c r="X21" s="129">
        <v>5509</v>
      </c>
      <c r="Y21" s="129">
        <f t="shared" si="1"/>
        <v>956.6049999999999</v>
      </c>
    </row>
    <row r="22" spans="1:25" s="55" customFormat="1" ht="20.10000000000000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22000</v>
      </c>
      <c r="G22" s="129">
        <v>25000</v>
      </c>
      <c r="H22" s="129">
        <v>25000</v>
      </c>
      <c r="I22" s="129">
        <v>15591</v>
      </c>
      <c r="J22" s="129">
        <v>3919</v>
      </c>
      <c r="K22" s="129">
        <v>13950</v>
      </c>
      <c r="L22" s="129">
        <f t="shared" si="0"/>
        <v>8433.25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4500</v>
      </c>
      <c r="T22" s="129">
        <v>4500</v>
      </c>
      <c r="U22" s="129">
        <v>5000</v>
      </c>
      <c r="V22" s="129">
        <v>4308</v>
      </c>
      <c r="W22" s="129">
        <v>630</v>
      </c>
      <c r="X22" s="129">
        <v>4307</v>
      </c>
      <c r="Y22" s="129">
        <f t="shared" si="1"/>
        <v>749.65</v>
      </c>
    </row>
    <row r="23" spans="1:25" s="55" customFormat="1" ht="20.10000000000000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12000</v>
      </c>
      <c r="G23" s="132">
        <v>12000</v>
      </c>
      <c r="H23" s="129">
        <v>13000</v>
      </c>
      <c r="I23" s="132">
        <v>9428</v>
      </c>
      <c r="J23" s="132">
        <v>1766</v>
      </c>
      <c r="K23" s="132">
        <v>8854</v>
      </c>
      <c r="L23" s="129">
        <f t="shared" si="0"/>
        <v>2436.33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1800</v>
      </c>
      <c r="T23" s="129">
        <v>1800</v>
      </c>
      <c r="U23" s="129">
        <v>1800</v>
      </c>
      <c r="V23" s="129">
        <v>1345</v>
      </c>
      <c r="W23" s="129">
        <v>335</v>
      </c>
      <c r="X23" s="129">
        <v>1173</v>
      </c>
      <c r="Y23" s="129">
        <f t="shared" si="1"/>
        <v>404.80200000000002</v>
      </c>
    </row>
    <row r="24" spans="1:25" s="55" customFormat="1" ht="20.10000000000000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18000</v>
      </c>
      <c r="G24" s="132">
        <v>20000</v>
      </c>
      <c r="H24" s="129">
        <v>20000</v>
      </c>
      <c r="I24" s="132">
        <v>13985</v>
      </c>
      <c r="J24" s="132">
        <v>2673</v>
      </c>
      <c r="K24" s="132">
        <v>13286</v>
      </c>
      <c r="L24" s="129">
        <f t="shared" si="0"/>
        <v>6296.7999999999993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12000</v>
      </c>
      <c r="T24" s="129">
        <v>13000</v>
      </c>
      <c r="U24" s="129">
        <v>13000</v>
      </c>
      <c r="V24" s="129">
        <v>10046</v>
      </c>
      <c r="W24" s="129">
        <v>1372</v>
      </c>
      <c r="X24" s="129">
        <v>10128</v>
      </c>
      <c r="Y24" s="129">
        <f t="shared" si="1"/>
        <v>1759.94</v>
      </c>
    </row>
    <row r="25" spans="1:25" s="55" customFormat="1" ht="20.10000000000000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18000</v>
      </c>
      <c r="G25" s="132">
        <v>20000</v>
      </c>
      <c r="H25" s="129">
        <v>20000</v>
      </c>
      <c r="I25" s="132">
        <v>14181</v>
      </c>
      <c r="J25" s="132">
        <v>780</v>
      </c>
      <c r="K25" s="132">
        <v>15489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16000</v>
      </c>
      <c r="U25" s="129">
        <v>16000</v>
      </c>
      <c r="V25" s="129">
        <v>12252</v>
      </c>
      <c r="W25" s="129">
        <v>1543</v>
      </c>
      <c r="X25" s="129">
        <v>13219</v>
      </c>
      <c r="Y25" s="129">
        <f t="shared" si="1"/>
        <v>2878.56</v>
      </c>
    </row>
    <row r="26" spans="1:25" s="55" customFormat="1" ht="20.10000000000000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6000</v>
      </c>
      <c r="G26" s="129">
        <v>7500</v>
      </c>
      <c r="H26" s="129">
        <v>7500</v>
      </c>
      <c r="I26" s="129">
        <v>4185</v>
      </c>
      <c r="J26" s="129">
        <v>1146</v>
      </c>
      <c r="K26" s="129">
        <v>3642</v>
      </c>
      <c r="L26" s="129">
        <f t="shared" si="0"/>
        <v>1574.25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1500</v>
      </c>
      <c r="T26" s="129">
        <v>1500</v>
      </c>
      <c r="U26" s="129">
        <v>1500</v>
      </c>
      <c r="V26" s="129">
        <v>1040</v>
      </c>
      <c r="W26" s="129">
        <v>225</v>
      </c>
      <c r="X26" s="129">
        <v>1009</v>
      </c>
      <c r="Y26" s="129">
        <f t="shared" si="1"/>
        <v>890.22</v>
      </c>
    </row>
    <row r="27" spans="1:25" s="55" customFormat="1" ht="20.10000000000000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12000</v>
      </c>
      <c r="G27" s="129">
        <v>13000</v>
      </c>
      <c r="H27" s="129">
        <v>13000</v>
      </c>
      <c r="I27" s="129">
        <v>9144</v>
      </c>
      <c r="J27" s="129">
        <v>1273</v>
      </c>
      <c r="K27" s="129">
        <v>9071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12000</v>
      </c>
      <c r="T27" s="129">
        <v>13000</v>
      </c>
      <c r="U27" s="129">
        <v>13000</v>
      </c>
      <c r="V27" s="129">
        <v>9991</v>
      </c>
      <c r="W27" s="129">
        <v>1326</v>
      </c>
      <c r="X27" s="129">
        <v>10213</v>
      </c>
      <c r="Y27" s="129">
        <f t="shared" si="1"/>
        <v>4034.4199999999996</v>
      </c>
    </row>
    <row r="28" spans="1:25" s="55" customFormat="1" ht="20.10000000000000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13000</v>
      </c>
      <c r="G28" s="129">
        <v>15000</v>
      </c>
      <c r="H28" s="129">
        <v>15000</v>
      </c>
      <c r="I28" s="129">
        <v>11433</v>
      </c>
      <c r="J28" s="129">
        <v>1522</v>
      </c>
      <c r="K28" s="129">
        <v>11238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62000</v>
      </c>
      <c r="T28" s="129">
        <v>65000</v>
      </c>
      <c r="U28" s="129">
        <v>65000</v>
      </c>
      <c r="V28" s="129">
        <v>60313</v>
      </c>
      <c r="W28" s="129">
        <v>6445</v>
      </c>
      <c r="X28" s="129">
        <v>62199</v>
      </c>
      <c r="Y28" s="129">
        <f t="shared" si="1"/>
        <v>14808.95</v>
      </c>
    </row>
    <row r="29" spans="1:25" s="55" customFormat="1" ht="20.10000000000000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264147.28999999998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10000</v>
      </c>
      <c r="T29" s="129">
        <v>11000</v>
      </c>
      <c r="U29" s="129">
        <v>11000</v>
      </c>
      <c r="V29" s="129">
        <v>8301</v>
      </c>
      <c r="W29" s="129">
        <v>693</v>
      </c>
      <c r="X29" s="129">
        <v>8739</v>
      </c>
      <c r="Y29" s="129">
        <f t="shared" si="1"/>
        <v>1979.01</v>
      </c>
    </row>
    <row r="30" spans="1:25" s="55" customFormat="1" ht="20.100000000000001" customHeight="1" x14ac:dyDescent="0.3">
      <c r="A30" s="120"/>
      <c r="B30" s="120"/>
      <c r="F30" s="165"/>
      <c r="G30" s="165"/>
      <c r="H30" s="164"/>
      <c r="I30" s="82">
        <f>L29/Y63</f>
        <v>0.73733107135350962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12000</v>
      </c>
      <c r="T30" s="129">
        <v>14000</v>
      </c>
      <c r="U30" s="129">
        <v>12000</v>
      </c>
      <c r="V30" s="129">
        <v>8276</v>
      </c>
      <c r="W30" s="129">
        <v>1275</v>
      </c>
      <c r="X30" s="129">
        <v>8248</v>
      </c>
      <c r="Y30" s="129">
        <f t="shared" si="1"/>
        <v>1082.6400000000001</v>
      </c>
    </row>
    <row r="31" spans="1:25" s="55" customFormat="1" ht="20.10000000000000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4000</v>
      </c>
      <c r="T31" s="129">
        <v>4500</v>
      </c>
      <c r="U31" s="129">
        <v>4500</v>
      </c>
      <c r="V31" s="129">
        <v>3340</v>
      </c>
      <c r="W31" s="129">
        <v>505</v>
      </c>
      <c r="X31" s="129">
        <v>3165</v>
      </c>
      <c r="Y31" s="129">
        <f t="shared" si="1"/>
        <v>744.35534999999993</v>
      </c>
    </row>
    <row r="32" spans="1:25" s="55" customFormat="1" ht="39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236</v>
      </c>
      <c r="G32" s="67" t="s">
        <v>245</v>
      </c>
      <c r="H32" s="67" t="s">
        <v>248</v>
      </c>
      <c r="I32" s="175" t="s">
        <v>255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20000</v>
      </c>
      <c r="T32" s="129">
        <v>22000</v>
      </c>
      <c r="U32" s="129">
        <v>22000</v>
      </c>
      <c r="V32" s="129">
        <v>16175</v>
      </c>
      <c r="W32" s="129">
        <v>1200</v>
      </c>
      <c r="X32" s="129">
        <v>17038</v>
      </c>
      <c r="Y32" s="129">
        <f t="shared" si="1"/>
        <v>2582.58</v>
      </c>
    </row>
    <row r="33" spans="1:25" s="55" customFormat="1" ht="20.10000000000000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4500</v>
      </c>
      <c r="G33" s="129">
        <v>5000</v>
      </c>
      <c r="H33" s="129">
        <v>5000</v>
      </c>
      <c r="I33" s="129">
        <v>2994</v>
      </c>
      <c r="J33" s="129">
        <v>275</v>
      </c>
      <c r="K33" s="129">
        <v>3071</v>
      </c>
      <c r="L33" s="129">
        <f>E33*H33/1000</f>
        <v>899.55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18000</v>
      </c>
      <c r="T33" s="129">
        <v>16000</v>
      </c>
      <c r="U33" s="129">
        <v>14000</v>
      </c>
      <c r="V33" s="129">
        <v>10210</v>
      </c>
      <c r="W33" s="129">
        <v>-769</v>
      </c>
      <c r="X33" s="129">
        <v>12203</v>
      </c>
      <c r="Y33" s="129">
        <f t="shared" si="1"/>
        <v>419.86</v>
      </c>
    </row>
    <row r="34" spans="1:25" s="55" customFormat="1" ht="20.10000000000000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2495</v>
      </c>
      <c r="J34" s="129">
        <v>195</v>
      </c>
      <c r="K34" s="129">
        <v>2613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10000</v>
      </c>
      <c r="T34" s="129">
        <v>8000</v>
      </c>
      <c r="U34" s="129">
        <v>8000</v>
      </c>
      <c r="V34" s="129">
        <v>5690</v>
      </c>
      <c r="W34" s="129">
        <v>332</v>
      </c>
      <c r="X34" s="129">
        <v>5982</v>
      </c>
      <c r="Y34" s="129">
        <f t="shared" si="1"/>
        <v>269.83999999999997</v>
      </c>
    </row>
    <row r="35" spans="1:25" s="55" customFormat="1" ht="20.10000000000000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973</v>
      </c>
      <c r="J35" s="129">
        <v>101</v>
      </c>
      <c r="K35" s="129">
        <v>1013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59727.737349999989</v>
      </c>
    </row>
    <row r="36" spans="1:25" s="55" customFormat="1" ht="20.10000000000000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2200</v>
      </c>
      <c r="G36" s="129">
        <v>2500</v>
      </c>
      <c r="H36" s="129">
        <v>2500</v>
      </c>
      <c r="I36" s="129">
        <v>1475</v>
      </c>
      <c r="J36" s="129">
        <v>213</v>
      </c>
      <c r="K36" s="129">
        <v>1488</v>
      </c>
      <c r="L36" s="129">
        <f t="shared" si="2"/>
        <v>749.625</v>
      </c>
      <c r="M36" s="139"/>
      <c r="U36" s="73"/>
      <c r="V36" s="166">
        <f>Y35/Y63</f>
        <v>0.16672181861035382</v>
      </c>
      <c r="W36" s="73"/>
      <c r="X36" s="73"/>
      <c r="Y36" s="140"/>
    </row>
    <row r="37" spans="1:25" s="55" customFormat="1" ht="20.100000000000001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3800</v>
      </c>
      <c r="G37" s="129">
        <v>3800</v>
      </c>
      <c r="H37" s="129">
        <v>3800</v>
      </c>
      <c r="I37" s="129">
        <v>2312</v>
      </c>
      <c r="J37" s="129">
        <v>271</v>
      </c>
      <c r="K37" s="129">
        <v>2387</v>
      </c>
      <c r="L37" s="129">
        <f t="shared" si="2"/>
        <v>857.12800000000004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4.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3800</v>
      </c>
      <c r="G38" s="129">
        <v>3800</v>
      </c>
      <c r="H38" s="129">
        <v>3800</v>
      </c>
      <c r="I38" s="129">
        <v>2355</v>
      </c>
      <c r="J38" s="129">
        <v>178</v>
      </c>
      <c r="K38" s="129">
        <v>2517</v>
      </c>
      <c r="L38" s="129">
        <f t="shared" si="2"/>
        <v>514.44399999999996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236</v>
      </c>
      <c r="T38" s="67" t="s">
        <v>245</v>
      </c>
      <c r="U38" s="67" t="s">
        <v>248</v>
      </c>
      <c r="V38" s="175" t="s">
        <v>255</v>
      </c>
      <c r="W38" s="67" t="s">
        <v>228</v>
      </c>
      <c r="X38" s="67" t="s">
        <v>229</v>
      </c>
      <c r="Y38" s="67" t="s">
        <v>119</v>
      </c>
    </row>
    <row r="39" spans="1:25" s="55" customFormat="1" ht="20.100000000000001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2800</v>
      </c>
      <c r="G39" s="129">
        <v>3000</v>
      </c>
      <c r="H39" s="129">
        <v>3000</v>
      </c>
      <c r="I39" s="129">
        <v>2083</v>
      </c>
      <c r="J39" s="129">
        <v>276</v>
      </c>
      <c r="K39" s="129">
        <v>2124</v>
      </c>
      <c r="L39" s="129">
        <f t="shared" si="2"/>
        <v>449.79</v>
      </c>
      <c r="M39" s="139"/>
      <c r="N39" s="5">
        <v>1</v>
      </c>
      <c r="O39" s="5" t="s">
        <v>238</v>
      </c>
      <c r="P39" s="9" t="s">
        <v>237</v>
      </c>
      <c r="Q39" s="8" t="s">
        <v>232</v>
      </c>
      <c r="R39" s="8">
        <v>449.78</v>
      </c>
      <c r="S39" s="129">
        <v>15000</v>
      </c>
      <c r="T39" s="129">
        <v>10000</v>
      </c>
      <c r="U39" s="129">
        <v>10000</v>
      </c>
      <c r="V39" s="129">
        <v>5768</v>
      </c>
      <c r="W39" s="129">
        <v>1062</v>
      </c>
      <c r="X39" s="129">
        <v>5509</v>
      </c>
      <c r="Y39" s="129">
        <f t="shared" ref="Y39:Y45" si="3">R39*U39/1000</f>
        <v>4497.8</v>
      </c>
    </row>
    <row r="40" spans="1:25" s="55" customFormat="1" ht="20.10000000000000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345</v>
      </c>
      <c r="J40" s="129">
        <v>34</v>
      </c>
      <c r="K40" s="129">
        <v>381</v>
      </c>
      <c r="L40" s="129">
        <f t="shared" si="2"/>
        <v>337.33499999999998</v>
      </c>
      <c r="M40" s="139"/>
      <c r="N40" s="5">
        <v>2</v>
      </c>
      <c r="O40" s="5" t="s">
        <v>243</v>
      </c>
      <c r="P40" s="9" t="s">
        <v>239</v>
      </c>
      <c r="Q40" s="8" t="s">
        <v>241</v>
      </c>
      <c r="R40" s="8">
        <v>269.87</v>
      </c>
      <c r="S40" s="129">
        <v>12000</v>
      </c>
      <c r="T40" s="129">
        <v>10000</v>
      </c>
      <c r="U40" s="129">
        <v>12000</v>
      </c>
      <c r="V40" s="129">
        <v>8383</v>
      </c>
      <c r="W40" s="129">
        <v>5297</v>
      </c>
      <c r="X40" s="129">
        <v>3826</v>
      </c>
      <c r="Y40" s="129">
        <f t="shared" si="3"/>
        <v>3238.44</v>
      </c>
    </row>
    <row r="41" spans="1:25" s="74" customFormat="1" ht="20.10000000000000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20000</v>
      </c>
      <c r="G41" s="129">
        <v>25000</v>
      </c>
      <c r="H41" s="129">
        <v>25000</v>
      </c>
      <c r="I41" s="129">
        <v>19751</v>
      </c>
      <c r="J41" s="129">
        <v>2136</v>
      </c>
      <c r="K41" s="129">
        <v>25210</v>
      </c>
      <c r="L41" s="129">
        <f t="shared" si="2"/>
        <v>2094.5</v>
      </c>
      <c r="M41" s="139"/>
      <c r="N41" s="5">
        <v>3</v>
      </c>
      <c r="O41" s="5" t="s">
        <v>244</v>
      </c>
      <c r="P41" s="9" t="s">
        <v>240</v>
      </c>
      <c r="Q41" s="8" t="s">
        <v>242</v>
      </c>
      <c r="R41" s="8">
        <v>359.82</v>
      </c>
      <c r="S41" s="129">
        <v>10000</v>
      </c>
      <c r="T41" s="129">
        <v>8000</v>
      </c>
      <c r="U41" s="129">
        <v>6000</v>
      </c>
      <c r="V41" s="129">
        <v>2174</v>
      </c>
      <c r="W41" s="129">
        <v>489</v>
      </c>
      <c r="X41" s="129">
        <v>1866</v>
      </c>
      <c r="Y41" s="129">
        <f t="shared" si="3"/>
        <v>2158.92</v>
      </c>
    </row>
    <row r="42" spans="1:25" s="74" customFormat="1" ht="20.10000000000000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13000</v>
      </c>
      <c r="G42" s="129">
        <v>14000</v>
      </c>
      <c r="H42" s="129">
        <v>14000</v>
      </c>
      <c r="I42" s="129">
        <v>10375</v>
      </c>
      <c r="J42" s="129">
        <v>2367</v>
      </c>
      <c r="K42" s="129">
        <v>11273</v>
      </c>
      <c r="L42" s="129">
        <f t="shared" si="2"/>
        <v>2248.2600000000002</v>
      </c>
      <c r="M42" s="139"/>
      <c r="N42" s="5">
        <v>4</v>
      </c>
      <c r="O42" s="5" t="s">
        <v>234</v>
      </c>
      <c r="P42" s="9" t="s">
        <v>230</v>
      </c>
      <c r="Q42" s="8" t="s">
        <v>232</v>
      </c>
      <c r="R42" s="8">
        <v>224.89</v>
      </c>
      <c r="S42" s="129">
        <v>5000</v>
      </c>
      <c r="T42" s="129">
        <v>3000</v>
      </c>
      <c r="U42" s="129">
        <v>2000</v>
      </c>
      <c r="V42" s="129">
        <v>115</v>
      </c>
      <c r="W42" s="129">
        <v>-211</v>
      </c>
      <c r="X42" s="129">
        <v>351</v>
      </c>
      <c r="Y42" s="129">
        <f t="shared" si="3"/>
        <v>449.78</v>
      </c>
    </row>
    <row r="43" spans="1:25" s="74" customFormat="1" ht="20.10000000000000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11000</v>
      </c>
      <c r="G43" s="129">
        <v>12000</v>
      </c>
      <c r="H43" s="129">
        <v>12000</v>
      </c>
      <c r="I43" s="129">
        <v>9322</v>
      </c>
      <c r="J43" s="129">
        <v>2202</v>
      </c>
      <c r="K43" s="129">
        <v>11089</v>
      </c>
      <c r="L43" s="129">
        <f t="shared" si="2"/>
        <v>1687.2</v>
      </c>
      <c r="M43" s="139"/>
      <c r="N43" s="5">
        <v>5</v>
      </c>
      <c r="O43" s="5" t="s">
        <v>235</v>
      </c>
      <c r="P43" s="9" t="s">
        <v>231</v>
      </c>
      <c r="Q43" s="8" t="s">
        <v>233</v>
      </c>
      <c r="R43" s="8">
        <v>187.41</v>
      </c>
      <c r="S43" s="129">
        <v>2000</v>
      </c>
      <c r="T43" s="129">
        <v>2000</v>
      </c>
      <c r="U43" s="129">
        <v>1500</v>
      </c>
      <c r="V43" s="129">
        <v>109</v>
      </c>
      <c r="W43" s="129">
        <v>-187</v>
      </c>
      <c r="X43" s="129">
        <v>318</v>
      </c>
      <c r="Y43" s="129">
        <f t="shared" si="3"/>
        <v>281.11500000000001</v>
      </c>
    </row>
    <row r="44" spans="1:25" s="74" customFormat="1" ht="20.100000000000001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8000</v>
      </c>
      <c r="G44" s="129">
        <v>10000</v>
      </c>
      <c r="H44" s="129">
        <v>9000</v>
      </c>
      <c r="I44" s="129">
        <v>7059</v>
      </c>
      <c r="J44" s="129">
        <v>879</v>
      </c>
      <c r="K44" s="129">
        <v>6897</v>
      </c>
      <c r="L44" s="129">
        <f t="shared" si="2"/>
        <v>1614.1500000000003</v>
      </c>
      <c r="M44" s="134"/>
      <c r="N44" s="5">
        <v>6</v>
      </c>
      <c r="O44" s="7" t="s">
        <v>251</v>
      </c>
      <c r="P44" s="91" t="s">
        <v>249</v>
      </c>
      <c r="Q44" s="8" t="s">
        <v>10</v>
      </c>
      <c r="R44" s="7">
        <v>209.9</v>
      </c>
      <c r="S44" s="129">
        <v>5000</v>
      </c>
      <c r="T44" s="129"/>
      <c r="U44" s="129">
        <v>4000</v>
      </c>
      <c r="V44" s="129"/>
      <c r="W44" s="129"/>
      <c r="X44" s="129"/>
      <c r="Y44" s="129">
        <f t="shared" si="3"/>
        <v>839.6</v>
      </c>
    </row>
    <row r="45" spans="1:25" s="74" customFormat="1" ht="20.10000000000000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7000</v>
      </c>
      <c r="G45" s="129">
        <v>8000</v>
      </c>
      <c r="H45" s="129">
        <v>8000</v>
      </c>
      <c r="I45" s="129">
        <v>5176</v>
      </c>
      <c r="J45" s="129">
        <v>-37</v>
      </c>
      <c r="K45" s="129">
        <v>5882</v>
      </c>
      <c r="L45" s="129">
        <f t="shared" si="2"/>
        <v>938.07999999999993</v>
      </c>
      <c r="M45" s="134"/>
      <c r="N45" s="5">
        <v>7</v>
      </c>
      <c r="O45" s="7" t="s">
        <v>252</v>
      </c>
      <c r="P45" s="91" t="s">
        <v>250</v>
      </c>
      <c r="Q45" s="8" t="s">
        <v>10</v>
      </c>
      <c r="R45" s="8">
        <v>359.82</v>
      </c>
      <c r="S45" s="129">
        <v>2000</v>
      </c>
      <c r="T45" s="129"/>
      <c r="U45" s="129">
        <v>5000</v>
      </c>
      <c r="V45" s="129"/>
      <c r="W45" s="129"/>
      <c r="X45" s="129"/>
      <c r="Y45" s="129">
        <f t="shared" si="3"/>
        <v>1799.1</v>
      </c>
    </row>
    <row r="46" spans="1:25" s="55" customFormat="1" ht="20.10000000000000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12000</v>
      </c>
      <c r="G46" s="129">
        <v>16000</v>
      </c>
      <c r="H46" s="129">
        <v>16000</v>
      </c>
      <c r="I46" s="129">
        <v>13056</v>
      </c>
      <c r="J46" s="129">
        <v>157</v>
      </c>
      <c r="K46" s="129">
        <v>14720</v>
      </c>
      <c r="L46" s="129">
        <f t="shared" si="2"/>
        <v>1178.4467200000001</v>
      </c>
      <c r="M46" s="118"/>
      <c r="N46" s="5">
        <v>8</v>
      </c>
      <c r="O46" s="5" t="s">
        <v>210</v>
      </c>
      <c r="P46" s="9" t="s">
        <v>141</v>
      </c>
      <c r="Q46" s="8" t="s">
        <v>142</v>
      </c>
      <c r="R46" s="8">
        <v>52.47</v>
      </c>
      <c r="S46" s="129">
        <v>5500</v>
      </c>
      <c r="T46" s="129">
        <v>5500</v>
      </c>
      <c r="U46" s="129">
        <v>5500</v>
      </c>
      <c r="V46" s="129">
        <v>3911</v>
      </c>
      <c r="W46" s="129">
        <v>1515</v>
      </c>
      <c r="X46" s="129">
        <v>2658</v>
      </c>
      <c r="Y46" s="129">
        <f t="shared" ref="Y46:Y52" si="4">R46*U46/1000</f>
        <v>288.58499999999998</v>
      </c>
    </row>
    <row r="47" spans="1:25" s="55" customFormat="1" ht="20.100000000000001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15052.76872</v>
      </c>
      <c r="M47" s="128"/>
      <c r="N47" s="5">
        <v>9</v>
      </c>
      <c r="O47" s="5" t="s">
        <v>212</v>
      </c>
      <c r="P47" s="9" t="s">
        <v>144</v>
      </c>
      <c r="Q47" s="8" t="s">
        <v>142</v>
      </c>
      <c r="R47" s="8">
        <v>33.729999999999997</v>
      </c>
      <c r="S47" s="129">
        <v>3000</v>
      </c>
      <c r="T47" s="129">
        <v>3000</v>
      </c>
      <c r="U47" s="129">
        <v>2500</v>
      </c>
      <c r="V47" s="129">
        <v>1114</v>
      </c>
      <c r="W47" s="129">
        <v>348</v>
      </c>
      <c r="X47" s="129">
        <v>847</v>
      </c>
      <c r="Y47" s="129">
        <f t="shared" si="4"/>
        <v>84.324999999999989</v>
      </c>
    </row>
    <row r="48" spans="1:25" s="55" customFormat="1" ht="20.100000000000001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214</v>
      </c>
      <c r="P48" s="9" t="s">
        <v>143</v>
      </c>
      <c r="Q48" s="8" t="s">
        <v>72</v>
      </c>
      <c r="R48" s="8">
        <v>37.479999999999997</v>
      </c>
      <c r="S48" s="129">
        <v>2500</v>
      </c>
      <c r="T48" s="129">
        <v>2500</v>
      </c>
      <c r="U48" s="129">
        <v>2000</v>
      </c>
      <c r="V48" s="129">
        <v>859</v>
      </c>
      <c r="W48" s="129">
        <v>133</v>
      </c>
      <c r="X48" s="129">
        <v>773</v>
      </c>
      <c r="Y48" s="129">
        <f t="shared" si="4"/>
        <v>74.959999999999994</v>
      </c>
    </row>
    <row r="49" spans="1:25" s="55" customFormat="1" ht="20.100000000000001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216</v>
      </c>
      <c r="P49" s="9" t="s">
        <v>146</v>
      </c>
      <c r="Q49" s="8" t="s">
        <v>145</v>
      </c>
      <c r="R49" s="8">
        <v>25.19</v>
      </c>
      <c r="S49" s="129">
        <v>3000</v>
      </c>
      <c r="T49" s="129">
        <v>3000</v>
      </c>
      <c r="U49" s="129">
        <v>2500</v>
      </c>
      <c r="V49" s="129">
        <v>1234</v>
      </c>
      <c r="W49" s="129">
        <v>548</v>
      </c>
      <c r="X49" s="129">
        <v>698</v>
      </c>
      <c r="Y49" s="129">
        <f t="shared" si="4"/>
        <v>62.975000000000001</v>
      </c>
    </row>
    <row r="50" spans="1:25" s="55" customFormat="1" ht="34.5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236</v>
      </c>
      <c r="G50" s="67" t="s">
        <v>245</v>
      </c>
      <c r="H50" s="67" t="s">
        <v>248</v>
      </c>
      <c r="I50" s="175" t="s">
        <v>255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218</v>
      </c>
      <c r="P50" s="9" t="s">
        <v>147</v>
      </c>
      <c r="Q50" s="8" t="s">
        <v>145</v>
      </c>
      <c r="R50" s="8">
        <v>27.06</v>
      </c>
      <c r="S50" s="129">
        <v>2000</v>
      </c>
      <c r="T50" s="129">
        <v>2000</v>
      </c>
      <c r="U50" s="129">
        <v>2000</v>
      </c>
      <c r="V50" s="129">
        <v>661</v>
      </c>
      <c r="W50" s="129">
        <v>164</v>
      </c>
      <c r="X50" s="129">
        <v>501</v>
      </c>
      <c r="Y50" s="129">
        <f t="shared" si="4"/>
        <v>54.12</v>
      </c>
    </row>
    <row r="51" spans="1:25" s="54" customFormat="1" ht="20.100000000000001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4000</v>
      </c>
      <c r="G51" s="129">
        <v>4500</v>
      </c>
      <c r="H51" s="129">
        <v>4500</v>
      </c>
      <c r="I51" s="129">
        <v>3227</v>
      </c>
      <c r="J51" s="129">
        <v>322</v>
      </c>
      <c r="K51" s="129">
        <v>3273</v>
      </c>
      <c r="L51" s="129">
        <f>E51*H51/1000</f>
        <v>1082.69865</v>
      </c>
      <c r="M51" s="134"/>
      <c r="N51" s="5">
        <v>13</v>
      </c>
      <c r="O51" s="5" t="s">
        <v>220</v>
      </c>
      <c r="P51" s="9" t="s">
        <v>149</v>
      </c>
      <c r="Q51" s="8" t="s">
        <v>72</v>
      </c>
      <c r="R51" s="8">
        <v>21.44</v>
      </c>
      <c r="S51" s="129">
        <v>6000</v>
      </c>
      <c r="T51" s="129">
        <v>6000</v>
      </c>
      <c r="U51" s="129">
        <v>6000</v>
      </c>
      <c r="V51" s="129">
        <v>4239</v>
      </c>
      <c r="W51" s="129">
        <v>1272</v>
      </c>
      <c r="X51" s="129">
        <v>3425</v>
      </c>
      <c r="Y51" s="129">
        <f t="shared" si="4"/>
        <v>128.64000000000001</v>
      </c>
    </row>
    <row r="52" spans="1:25" s="54" customFormat="1" ht="20.100000000000001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1396</v>
      </c>
      <c r="J52" s="129">
        <v>150</v>
      </c>
      <c r="K52" s="129">
        <v>1556</v>
      </c>
      <c r="L52" s="129">
        <f>E52*H52/1000</f>
        <v>203.00597999999999</v>
      </c>
      <c r="M52" s="144"/>
      <c r="N52" s="5">
        <v>14</v>
      </c>
      <c r="O52" s="5" t="s">
        <v>221</v>
      </c>
      <c r="P52" s="9" t="s">
        <v>148</v>
      </c>
      <c r="Q52" s="8" t="s">
        <v>72</v>
      </c>
      <c r="R52" s="8">
        <v>21.44</v>
      </c>
      <c r="S52" s="129">
        <v>4000</v>
      </c>
      <c r="T52" s="129">
        <v>4000</v>
      </c>
      <c r="U52" s="129">
        <v>3500</v>
      </c>
      <c r="V52" s="129">
        <v>1650</v>
      </c>
      <c r="W52" s="129">
        <v>253</v>
      </c>
      <c r="X52" s="129">
        <v>1571</v>
      </c>
      <c r="Y52" s="129">
        <f t="shared" si="4"/>
        <v>75.040000000000006</v>
      </c>
    </row>
    <row r="53" spans="1:25" s="54" customFormat="1" ht="20.10000000000000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596</v>
      </c>
      <c r="J53" s="129">
        <v>163</v>
      </c>
      <c r="K53" s="129">
        <v>592</v>
      </c>
      <c r="L53" s="129">
        <f>E53*H53/1000</f>
        <v>315.22000000000003</v>
      </c>
      <c r="M53" s="144"/>
      <c r="N53" s="5">
        <v>15</v>
      </c>
      <c r="O53" s="5" t="s">
        <v>222</v>
      </c>
      <c r="P53" s="9" t="s">
        <v>150</v>
      </c>
      <c r="Q53" s="8" t="s">
        <v>59</v>
      </c>
      <c r="R53" s="8">
        <v>179.91</v>
      </c>
      <c r="S53" s="129">
        <v>1500</v>
      </c>
      <c r="T53" s="129">
        <v>1500</v>
      </c>
      <c r="U53" s="129">
        <v>1500</v>
      </c>
      <c r="V53" s="129">
        <v>369</v>
      </c>
      <c r="W53" s="129">
        <v>69</v>
      </c>
      <c r="X53" s="129">
        <v>352</v>
      </c>
      <c r="Y53" s="129">
        <f>R53*U53/1000</f>
        <v>269.86500000000001</v>
      </c>
    </row>
    <row r="54" spans="1:25" s="54" customFormat="1" ht="20.10000000000000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5">
        <v>16</v>
      </c>
      <c r="O54" s="5" t="s">
        <v>223</v>
      </c>
      <c r="P54" s="9" t="s">
        <v>151</v>
      </c>
      <c r="Q54" s="8" t="s">
        <v>37</v>
      </c>
      <c r="R54" s="8">
        <v>215.89</v>
      </c>
      <c r="S54" s="129">
        <v>1000</v>
      </c>
      <c r="T54" s="129">
        <v>1000</v>
      </c>
      <c r="U54" s="129">
        <v>1000</v>
      </c>
      <c r="V54" s="129">
        <v>32</v>
      </c>
      <c r="W54" s="129">
        <v>-12</v>
      </c>
      <c r="X54" s="129">
        <v>45</v>
      </c>
      <c r="Y54" s="129">
        <f>R54*U54/1000</f>
        <v>215.89</v>
      </c>
    </row>
    <row r="55" spans="1:25" s="54" customFormat="1" ht="20.10000000000000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40</v>
      </c>
      <c r="O55" s="64"/>
      <c r="P55" s="76"/>
      <c r="Q55" s="75"/>
      <c r="R55" s="75"/>
      <c r="S55" s="75"/>
      <c r="T55" s="75"/>
      <c r="U55" s="75"/>
      <c r="V55" s="75"/>
      <c r="W55" s="75"/>
      <c r="X55" s="75"/>
      <c r="Y55" s="146">
        <f>SUM(Y39:Y54)</f>
        <v>14519.155000000001</v>
      </c>
    </row>
    <row r="56" spans="1:25" s="54" customFormat="1" ht="20.10000000000000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141"/>
      <c r="O56" s="141"/>
      <c r="P56" s="145"/>
      <c r="Q56" s="74"/>
      <c r="R56" s="74"/>
      <c r="S56" s="74"/>
      <c r="T56" s="74"/>
      <c r="U56" s="74"/>
      <c r="V56" s="74"/>
      <c r="W56" s="74"/>
      <c r="X56" s="74"/>
      <c r="Y56" s="144"/>
    </row>
    <row r="57" spans="1:25" s="57" customFormat="1" ht="20.10000000000000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120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L29</f>
        <v>264147.28999999998</v>
      </c>
    </row>
    <row r="58" spans="1:25" s="11" customFormat="1" ht="20.100000000000001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121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Y35</f>
        <v>59727.737349999989</v>
      </c>
    </row>
    <row r="59" spans="1:25" s="11" customFormat="1" ht="20.100000000000001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131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L47</f>
        <v>15052.76872</v>
      </c>
    </row>
    <row r="60" spans="1:25" s="12" customFormat="1" ht="20.100000000000001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122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f>L54</f>
        <v>1600.92463</v>
      </c>
    </row>
    <row r="61" spans="1:25" s="12" customFormat="1" ht="20.100000000000001" customHeight="1" x14ac:dyDescent="0.25">
      <c r="A61" s="148"/>
      <c r="B61" s="148"/>
      <c r="C61" s="149"/>
      <c r="D61" s="150"/>
      <c r="E61" s="151"/>
      <c r="F61" s="151"/>
      <c r="G61" s="151"/>
      <c r="H61" s="152"/>
      <c r="I61" s="152"/>
      <c r="J61" s="152"/>
      <c r="K61" s="152"/>
      <c r="L61" s="144"/>
      <c r="M61" s="144"/>
      <c r="N61" s="63" t="s">
        <v>125</v>
      </c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146">
        <f>Y55</f>
        <v>14519.155000000001</v>
      </c>
    </row>
    <row r="62" spans="1:25" s="12" customFormat="1" ht="20.100000000000001" customHeight="1" x14ac:dyDescent="0.25">
      <c r="A62" s="148"/>
      <c r="B62" s="148"/>
      <c r="C62" s="149"/>
      <c r="D62" s="150"/>
      <c r="E62" s="151"/>
      <c r="F62" s="151"/>
      <c r="G62" s="151"/>
      <c r="H62" s="152"/>
      <c r="I62" s="152"/>
      <c r="J62" s="152"/>
      <c r="K62" s="152"/>
      <c r="L62" s="144"/>
      <c r="M62" s="144"/>
      <c r="N62" s="63" t="s">
        <v>126</v>
      </c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146">
        <v>3200</v>
      </c>
    </row>
    <row r="63" spans="1:25" s="11" customFormat="1" ht="20.100000000000001" customHeight="1" x14ac:dyDescent="0.3">
      <c r="A63" s="153"/>
      <c r="B63" s="153"/>
      <c r="C63" s="124"/>
      <c r="D63" s="154"/>
      <c r="E63" s="155"/>
      <c r="F63" s="155"/>
      <c r="G63" s="155"/>
      <c r="H63" s="156"/>
      <c r="I63" s="156"/>
      <c r="J63" s="156"/>
      <c r="K63" s="156"/>
      <c r="L63" s="157"/>
      <c r="M63" s="157"/>
      <c r="N63" s="66" t="s">
        <v>123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146">
        <f>SUM(Y57:Y62)</f>
        <v>358247.87570000003</v>
      </c>
    </row>
    <row r="64" spans="1:25" ht="18" customHeight="1" x14ac:dyDescent="0.3">
      <c r="A64" s="56"/>
      <c r="B64" s="56"/>
      <c r="C64" s="54"/>
      <c r="D64" s="54"/>
      <c r="E64" s="54"/>
      <c r="F64" s="54"/>
      <c r="G64" s="54"/>
      <c r="H64" s="56"/>
      <c r="I64" s="56"/>
      <c r="J64" s="56"/>
      <c r="K64" s="56"/>
      <c r="L64" s="54"/>
      <c r="M64" s="54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4"/>
    </row>
    <row r="65" spans="1:25" ht="12" customHeight="1" x14ac:dyDescent="0.3">
      <c r="A65" s="56"/>
      <c r="B65" s="56"/>
      <c r="C65" s="11"/>
      <c r="D65" s="54"/>
      <c r="E65" s="54"/>
      <c r="F65" s="54"/>
      <c r="G65" s="54"/>
      <c r="H65" s="56"/>
      <c r="I65" s="56"/>
      <c r="J65" s="56"/>
      <c r="K65" s="56"/>
      <c r="L65" s="54"/>
      <c r="M65" s="54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4"/>
    </row>
    <row r="66" spans="1:25" ht="16.8" x14ac:dyDescent="0.3">
      <c r="A66" s="160"/>
      <c r="B66" s="160"/>
      <c r="C66" s="58"/>
      <c r="D66" s="59"/>
      <c r="E66" s="59"/>
      <c r="F66" s="59"/>
      <c r="G66" s="59"/>
      <c r="H66" s="117"/>
      <c r="I66" s="117"/>
      <c r="J66" s="117"/>
      <c r="K66" s="117"/>
      <c r="L66" s="58"/>
      <c r="M66" s="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9"/>
    </row>
    <row r="67" spans="1:25" ht="16.8" x14ac:dyDescent="0.3">
      <c r="A67" s="84"/>
      <c r="B67" s="84"/>
      <c r="C67" s="168"/>
      <c r="D67" s="168"/>
      <c r="E67" s="168"/>
      <c r="F67" s="168"/>
      <c r="G67" s="168"/>
      <c r="H67" s="169"/>
      <c r="I67" s="169"/>
      <c r="J67" s="169"/>
      <c r="K67" s="169"/>
      <c r="L67" s="11"/>
      <c r="M67" s="11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8" x14ac:dyDescent="0.3">
      <c r="A68" s="122"/>
      <c r="B68" s="122"/>
      <c r="C68" s="162"/>
      <c r="D68" s="162"/>
      <c r="E68" s="162"/>
      <c r="F68" s="162"/>
      <c r="G68" s="162"/>
      <c r="H68" s="10"/>
      <c r="I68" s="10"/>
      <c r="J68" s="10"/>
      <c r="K68" s="10"/>
      <c r="L68" s="162"/>
      <c r="M68" s="162"/>
      <c r="N68" s="58"/>
      <c r="O68" s="58"/>
      <c r="P68" s="161"/>
      <c r="Q68" s="117"/>
      <c r="R68" s="58"/>
      <c r="S68" s="58"/>
      <c r="T68" s="58"/>
      <c r="U68" s="57"/>
      <c r="V68" s="57"/>
      <c r="W68" s="57"/>
      <c r="X68" s="57"/>
      <c r="Y68" s="60"/>
    </row>
    <row r="69" spans="1:25" ht="16.8" x14ac:dyDescent="0.3">
      <c r="A69" s="83"/>
      <c r="B69" s="83"/>
      <c r="C69" s="162"/>
      <c r="D69" s="162"/>
      <c r="E69" s="162"/>
      <c r="F69" s="162"/>
      <c r="G69" s="162"/>
      <c r="H69" s="13"/>
      <c r="I69" s="13"/>
      <c r="J69" s="13"/>
      <c r="K69" s="13"/>
      <c r="L69" s="162"/>
      <c r="M69" s="162"/>
      <c r="N69" s="58"/>
      <c r="O69" s="58"/>
      <c r="P69" s="161"/>
      <c r="Q69" s="117"/>
      <c r="R69" s="58"/>
      <c r="S69" s="58"/>
      <c r="T69" s="58"/>
      <c r="U69" s="57"/>
      <c r="V69" s="57"/>
      <c r="W69" s="57"/>
      <c r="X69" s="57"/>
      <c r="Y69" s="60"/>
    </row>
    <row r="70" spans="1:25" ht="16.8" x14ac:dyDescent="0.3">
      <c r="N70" s="11"/>
      <c r="O70" s="11"/>
      <c r="P70" s="170"/>
      <c r="Q70" s="169"/>
      <c r="R70" s="11"/>
      <c r="S70" s="11"/>
      <c r="T70" s="11"/>
      <c r="U70" s="11"/>
      <c r="V70" s="11"/>
      <c r="W70" s="11"/>
      <c r="X70" s="11"/>
      <c r="Y70" s="11"/>
    </row>
    <row r="71" spans="1:25" ht="18" x14ac:dyDescent="0.3">
      <c r="N71" s="162"/>
      <c r="O71" s="162"/>
      <c r="P71" s="163"/>
      <c r="Q71" s="10"/>
      <c r="R71" s="12"/>
      <c r="S71" s="12"/>
      <c r="T71" s="12"/>
      <c r="U71" s="162"/>
      <c r="V71" s="162"/>
      <c r="W71" s="162"/>
      <c r="X71" s="162"/>
      <c r="Y71" s="162"/>
    </row>
    <row r="72" spans="1:25" ht="9.75" customHeight="1" x14ac:dyDescent="0.3">
      <c r="N72" s="162"/>
      <c r="O72" s="162"/>
      <c r="P72" s="14"/>
      <c r="Q72" s="13"/>
      <c r="R72" s="12"/>
      <c r="S72" s="12"/>
      <c r="T72" s="12"/>
      <c r="U72" s="162"/>
      <c r="V72" s="162"/>
      <c r="W72" s="162"/>
      <c r="X72" s="162"/>
      <c r="Y72" s="162"/>
    </row>
  </sheetData>
  <mergeCells count="2">
    <mergeCell ref="A2:Y2"/>
    <mergeCell ref="A5:Y5"/>
  </mergeCells>
  <pageMargins left="0.51" right="0.4" top="0.26" bottom="0.17" header="0.3" footer="0.17"/>
  <pageSetup paperSize="9" scale="55" orientation="portrait" r:id="rId1"/>
  <colBreaks count="1" manualBreakCount="1">
    <brk id="25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Z63"/>
  <sheetViews>
    <sheetView view="pageBreakPreview" topLeftCell="A10" zoomScale="85" zoomScaleNormal="85" zoomScaleSheetLayoutView="85" workbookViewId="0">
      <selection activeCell="I12" sqref="I12:I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6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6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6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6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6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6" ht="23.25" customHeight="1" thickBot="1" x14ac:dyDescent="0.3">
      <c r="A8" s="407" t="s">
        <v>272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6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6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412" t="s">
        <v>276</v>
      </c>
      <c r="J10" s="413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6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74" t="s">
        <v>273</v>
      </c>
      <c r="J11" s="274" t="s">
        <v>261</v>
      </c>
      <c r="K11" s="269"/>
      <c r="L11" s="229"/>
      <c r="M11" s="229"/>
      <c r="Q11" s="231"/>
      <c r="S11" s="232"/>
      <c r="U11" s="233"/>
      <c r="W11" s="208"/>
    </row>
    <row r="12" spans="1:26" s="2" customFormat="1" ht="30" customHeight="1" x14ac:dyDescent="0.25">
      <c r="A12" s="234">
        <v>1</v>
      </c>
      <c r="B12" s="235" t="s">
        <v>79</v>
      </c>
      <c r="C12" s="268">
        <f>D12/$D$20*100</f>
        <v>14.486770954036308</v>
      </c>
      <c r="D12" s="236">
        <v>6001000</v>
      </c>
      <c r="E12" s="261">
        <f>F12/$F$20*100</f>
        <v>15.431427950445556</v>
      </c>
      <c r="F12" s="237">
        <f>O12</f>
        <v>4260000</v>
      </c>
      <c r="G12" s="259">
        <f>H12/$U$9*100</f>
        <v>2.6310256410256407</v>
      </c>
      <c r="H12" s="257">
        <f>D12+F12</f>
        <v>10261000</v>
      </c>
      <c r="I12" s="266">
        <v>2.63</v>
      </c>
      <c r="J12" s="257">
        <f>I12/100*$U$9</f>
        <v>10257000</v>
      </c>
      <c r="K12" s="270">
        <f>J12-H12</f>
        <v>-4000</v>
      </c>
      <c r="L12" s="238">
        <f t="shared" ref="L12:L19" si="0">F12/$F$20</f>
        <v>0.15431427950445556</v>
      </c>
      <c r="M12" s="238">
        <f>L12*100</f>
        <v>15.431427950445556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11.941427950445556</v>
      </c>
      <c r="T12" s="206">
        <f>(S12/100)*$U$9</f>
        <v>46571569.006737664</v>
      </c>
      <c r="U12" s="196">
        <f>R12+T12</f>
        <v>60182569.006737664</v>
      </c>
      <c r="V12" s="2">
        <f>K12/2</f>
        <v>-2000</v>
      </c>
      <c r="W12" s="208">
        <f t="shared" ref="W12:W32" si="2">(E12/100)*$U$9</f>
        <v>60182569.006737672</v>
      </c>
      <c r="Z12" s="2" t="s">
        <v>277</v>
      </c>
    </row>
    <row r="13" spans="1:26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9.7286597141753575</v>
      </c>
      <c r="D13" s="236">
        <v>4030000</v>
      </c>
      <c r="E13" s="261">
        <f t="shared" ref="E13:E19" si="4">F13/$F$20*100</f>
        <v>7.8098963993334785</v>
      </c>
      <c r="F13" s="237">
        <f t="shared" ref="F13:F19" si="5">O13</f>
        <v>2156000</v>
      </c>
      <c r="G13" s="259">
        <f t="shared" ref="G13:G18" si="6">H13/$U$9*100</f>
        <v>1.5861538461538462</v>
      </c>
      <c r="H13" s="257">
        <f t="shared" ref="H13:H19" si="7">D13+F13</f>
        <v>6186000</v>
      </c>
      <c r="I13" s="266">
        <v>1.59</v>
      </c>
      <c r="J13" s="257">
        <f t="shared" ref="J13:J19" si="8">I13/100*$U$9</f>
        <v>6201000</v>
      </c>
      <c r="K13" s="270">
        <f t="shared" ref="K13:K19" si="9">J13-H13</f>
        <v>15000</v>
      </c>
      <c r="L13" s="238">
        <f t="shared" si="0"/>
        <v>7.8098963993334783E-2</v>
      </c>
      <c r="M13" s="238">
        <f>L13*100</f>
        <v>7.8098963993334785</v>
      </c>
      <c r="N13" s="239">
        <v>4030000</v>
      </c>
      <c r="O13" s="239">
        <v>2156000</v>
      </c>
      <c r="P13" s="239">
        <f t="shared" ref="P13:P18" si="10">N13+O13</f>
        <v>6186000</v>
      </c>
      <c r="Q13" s="195">
        <v>1.39</v>
      </c>
      <c r="R13" s="191">
        <f t="shared" ref="R13:R20" si="11">(Q13/100)*$U$9</f>
        <v>5421000</v>
      </c>
      <c r="S13" s="192">
        <f t="shared" si="1"/>
        <v>6.4198963993334788</v>
      </c>
      <c r="T13" s="206">
        <f t="shared" ref="T13:T17" si="12">(S13/100)*$U$9</f>
        <v>25037595.957400568</v>
      </c>
      <c r="U13" s="196">
        <f t="shared" ref="U13:U17" si="13">R13+T13</f>
        <v>30458595.957400568</v>
      </c>
      <c r="V13" s="2">
        <f t="shared" ref="V13:V19" si="14">K13/2</f>
        <v>7500</v>
      </c>
      <c r="W13" s="208">
        <f t="shared" si="2"/>
        <v>30458595.957400564</v>
      </c>
    </row>
    <row r="14" spans="1:26" s="2" customFormat="1" ht="30" customHeight="1" x14ac:dyDescent="0.25">
      <c r="A14" s="234">
        <v>3</v>
      </c>
      <c r="B14" s="235" t="s">
        <v>81</v>
      </c>
      <c r="C14" s="268">
        <f t="shared" si="3"/>
        <v>15.010621861722672</v>
      </c>
      <c r="D14" s="236">
        <v>6218000</v>
      </c>
      <c r="E14" s="261">
        <f t="shared" si="4"/>
        <v>12.605955227124538</v>
      </c>
      <c r="F14" s="237">
        <f t="shared" si="5"/>
        <v>3480000</v>
      </c>
      <c r="G14" s="259">
        <f t="shared" si="6"/>
        <v>2.4866666666666664</v>
      </c>
      <c r="H14" s="257">
        <f t="shared" si="7"/>
        <v>9698000</v>
      </c>
      <c r="I14" s="266">
        <v>2.4900000000000002</v>
      </c>
      <c r="J14" s="257">
        <f t="shared" si="8"/>
        <v>9711000</v>
      </c>
      <c r="K14" s="270">
        <f t="shared" si="9"/>
        <v>13000</v>
      </c>
      <c r="L14" s="238">
        <f t="shared" si="0"/>
        <v>0.12605955227124538</v>
      </c>
      <c r="M14" s="238">
        <f t="shared" ref="M14:M19" si="15">L14*100</f>
        <v>12.605955227124538</v>
      </c>
      <c r="N14" s="239">
        <v>6218000</v>
      </c>
      <c r="O14" s="239">
        <v>3480000</v>
      </c>
      <c r="P14" s="239">
        <f t="shared" si="10"/>
        <v>9698000</v>
      </c>
      <c r="Q14" s="195">
        <v>2.83</v>
      </c>
      <c r="R14" s="191">
        <f t="shared" si="11"/>
        <v>11037000</v>
      </c>
      <c r="S14" s="192">
        <f t="shared" si="1"/>
        <v>9.7759552271245376</v>
      </c>
      <c r="T14" s="206">
        <f t="shared" si="12"/>
        <v>38126225.385785699</v>
      </c>
      <c r="U14" s="196">
        <f t="shared" si="13"/>
        <v>49163225.385785699</v>
      </c>
      <c r="V14" s="2">
        <f t="shared" si="14"/>
        <v>6500</v>
      </c>
      <c r="W14" s="208">
        <f t="shared" si="2"/>
        <v>49163225.385785699</v>
      </c>
    </row>
    <row r="15" spans="1:26" s="2" customFormat="1" ht="30" customHeight="1" x14ac:dyDescent="0.25">
      <c r="A15" s="234">
        <v>4</v>
      </c>
      <c r="B15" s="235" t="s">
        <v>82</v>
      </c>
      <c r="C15" s="268">
        <f t="shared" si="3"/>
        <v>19.452491309385863</v>
      </c>
      <c r="D15" s="236">
        <v>8058000</v>
      </c>
      <c r="E15" s="261">
        <f t="shared" si="4"/>
        <v>17.054263565891471</v>
      </c>
      <c r="F15" s="237">
        <f t="shared" si="5"/>
        <v>4708000</v>
      </c>
      <c r="G15" s="259">
        <f t="shared" si="6"/>
        <v>3.2733333333333334</v>
      </c>
      <c r="H15" s="257">
        <f t="shared" si="7"/>
        <v>12766000</v>
      </c>
      <c r="I15" s="266">
        <v>3.27</v>
      </c>
      <c r="J15" s="257">
        <f t="shared" si="8"/>
        <v>12753000</v>
      </c>
      <c r="K15" s="270">
        <f t="shared" si="9"/>
        <v>-13000</v>
      </c>
      <c r="L15" s="238">
        <f t="shared" si="0"/>
        <v>0.17054263565891473</v>
      </c>
      <c r="M15" s="238">
        <f t="shared" si="15"/>
        <v>17.054263565891471</v>
      </c>
      <c r="N15" s="239">
        <v>8058000</v>
      </c>
      <c r="O15" s="239">
        <v>4708000</v>
      </c>
      <c r="P15" s="239">
        <f t="shared" si="10"/>
        <v>12766000</v>
      </c>
      <c r="Q15" s="195">
        <v>2.88</v>
      </c>
      <c r="R15" s="191">
        <f t="shared" si="11"/>
        <v>11232000</v>
      </c>
      <c r="S15" s="192">
        <f t="shared" si="1"/>
        <v>14.174263565891472</v>
      </c>
      <c r="T15" s="206">
        <f>(S15/100)*$U$9</f>
        <v>55279627.906976745</v>
      </c>
      <c r="U15" s="196">
        <f>R15+T15</f>
        <v>66511627.906976745</v>
      </c>
      <c r="V15" s="2">
        <f t="shared" si="14"/>
        <v>-6500</v>
      </c>
      <c r="W15" s="208">
        <f t="shared" si="2"/>
        <v>66511627.90697673</v>
      </c>
    </row>
    <row r="16" spans="1:26" s="2" customFormat="1" ht="30" customHeight="1" x14ac:dyDescent="0.25">
      <c r="A16" s="234">
        <v>5</v>
      </c>
      <c r="B16" s="235" t="s">
        <v>83</v>
      </c>
      <c r="C16" s="268">
        <f t="shared" si="3"/>
        <v>15.213402858246427</v>
      </c>
      <c r="D16" s="236">
        <v>6302000</v>
      </c>
      <c r="E16" s="261">
        <f t="shared" si="4"/>
        <v>17.177425197420852</v>
      </c>
      <c r="F16" s="237">
        <f t="shared" si="5"/>
        <v>4742000</v>
      </c>
      <c r="G16" s="259">
        <f t="shared" si="6"/>
        <v>2.8317948717948718</v>
      </c>
      <c r="H16" s="257">
        <f t="shared" si="7"/>
        <v>11044000</v>
      </c>
      <c r="I16" s="266">
        <v>2.83</v>
      </c>
      <c r="J16" s="257">
        <f t="shared" si="8"/>
        <v>11037000</v>
      </c>
      <c r="K16" s="270">
        <f t="shared" si="9"/>
        <v>-7000</v>
      </c>
      <c r="L16" s="238">
        <f t="shared" si="0"/>
        <v>0.17177425197420851</v>
      </c>
      <c r="M16" s="238">
        <f t="shared" si="15"/>
        <v>17.177425197420852</v>
      </c>
      <c r="N16" s="239">
        <v>8472000</v>
      </c>
      <c r="O16" s="239">
        <v>4742000</v>
      </c>
      <c r="P16" s="239">
        <f t="shared" si="10"/>
        <v>13214000</v>
      </c>
      <c r="Q16" s="195">
        <v>2.58</v>
      </c>
      <c r="R16" s="191">
        <f t="shared" si="11"/>
        <v>10062000</v>
      </c>
      <c r="S16" s="192">
        <f t="shared" si="1"/>
        <v>14.597425197420852</v>
      </c>
      <c r="T16" s="206">
        <f t="shared" si="12"/>
        <v>56929958.269941323</v>
      </c>
      <c r="U16" s="196">
        <f t="shared" si="13"/>
        <v>66991958.269941323</v>
      </c>
      <c r="V16" s="2">
        <f t="shared" si="14"/>
        <v>-3500</v>
      </c>
      <c r="W16" s="208">
        <f t="shared" si="2"/>
        <v>66991958.26994133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11.068462726921592</v>
      </c>
      <c r="D17" s="236">
        <v>4585000</v>
      </c>
      <c r="E17" s="261">
        <f t="shared" si="4"/>
        <v>13.982467579511701</v>
      </c>
      <c r="F17" s="237">
        <f t="shared" si="5"/>
        <v>3860000</v>
      </c>
      <c r="G17" s="259">
        <f t="shared" si="6"/>
        <v>2.1653846153846157</v>
      </c>
      <c r="H17" s="257">
        <f t="shared" si="7"/>
        <v>8445000</v>
      </c>
      <c r="I17" s="266">
        <v>2.17</v>
      </c>
      <c r="J17" s="257">
        <f t="shared" si="8"/>
        <v>8463000</v>
      </c>
      <c r="K17" s="270">
        <f t="shared" si="9"/>
        <v>18000</v>
      </c>
      <c r="L17" s="238">
        <f t="shared" si="0"/>
        <v>0.13982467579511701</v>
      </c>
      <c r="M17" s="238">
        <f t="shared" si="15"/>
        <v>13.982467579511701</v>
      </c>
      <c r="N17" s="239">
        <v>4585000</v>
      </c>
      <c r="O17" s="239">
        <v>3860000</v>
      </c>
      <c r="P17" s="239">
        <f t="shared" si="10"/>
        <v>8445000</v>
      </c>
      <c r="Q17" s="195">
        <v>1.83</v>
      </c>
      <c r="R17" s="191">
        <f t="shared" si="11"/>
        <v>7137000</v>
      </c>
      <c r="S17" s="192">
        <f t="shared" si="1"/>
        <v>12.152467579511701</v>
      </c>
      <c r="T17" s="206">
        <f t="shared" si="12"/>
        <v>47394623.560095631</v>
      </c>
      <c r="U17" s="196">
        <f t="shared" si="13"/>
        <v>54531623.560095631</v>
      </c>
      <c r="V17" s="2">
        <f t="shared" si="14"/>
        <v>9000</v>
      </c>
      <c r="W17" s="208">
        <f t="shared" si="2"/>
        <v>54531623.560095631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9.8010814986481272</v>
      </c>
      <c r="D18" s="236">
        <v>4060000</v>
      </c>
      <c r="E18" s="261">
        <f t="shared" si="4"/>
        <v>15.938564080272405</v>
      </c>
      <c r="F18" s="237">
        <f t="shared" si="5"/>
        <v>4400000</v>
      </c>
      <c r="G18" s="259">
        <f t="shared" si="6"/>
        <v>2.1692307692307691</v>
      </c>
      <c r="H18" s="257">
        <f t="shared" si="7"/>
        <v>8460000</v>
      </c>
      <c r="I18" s="266">
        <v>2.17</v>
      </c>
      <c r="J18" s="257">
        <f t="shared" si="8"/>
        <v>8463000</v>
      </c>
      <c r="K18" s="270">
        <f t="shared" si="9"/>
        <v>3000</v>
      </c>
      <c r="L18" s="238">
        <f t="shared" si="0"/>
        <v>0.15938564080272405</v>
      </c>
      <c r="M18" s="238">
        <f t="shared" si="15"/>
        <v>15.938564080272405</v>
      </c>
      <c r="N18" s="239">
        <v>4060000</v>
      </c>
      <c r="O18" s="239">
        <v>4400000</v>
      </c>
      <c r="P18" s="239">
        <f t="shared" si="10"/>
        <v>8460000</v>
      </c>
      <c r="Q18" s="240"/>
      <c r="R18" s="241"/>
      <c r="S18" s="242"/>
      <c r="T18" s="243"/>
      <c r="U18" s="244"/>
      <c r="V18" s="2">
        <f t="shared" si="14"/>
        <v>1500</v>
      </c>
      <c r="W18" s="208">
        <f t="shared" si="2"/>
        <v>62160399.913062379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5.2385090768636537</v>
      </c>
      <c r="D19" s="236">
        <v>2170000</v>
      </c>
      <c r="E19" s="261">
        <f t="shared" si="4"/>
        <v>0</v>
      </c>
      <c r="F19" s="237">
        <f t="shared" si="5"/>
        <v>0</v>
      </c>
      <c r="G19" s="259">
        <f>H19/$U$9*100</f>
        <v>0.55641025641025632</v>
      </c>
      <c r="H19" s="257">
        <f t="shared" si="7"/>
        <v>2170000</v>
      </c>
      <c r="I19" s="266">
        <v>0.55000000000000004</v>
      </c>
      <c r="J19" s="257">
        <f t="shared" si="8"/>
        <v>2145000</v>
      </c>
      <c r="K19" s="270">
        <f t="shared" si="9"/>
        <v>-25000</v>
      </c>
      <c r="L19" s="238">
        <f t="shared" si="0"/>
        <v>0</v>
      </c>
      <c r="M19" s="238">
        <f t="shared" si="15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4"/>
        <v>-12500</v>
      </c>
      <c r="W19" s="208">
        <f t="shared" si="2"/>
        <v>0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41424000</v>
      </c>
      <c r="E20" s="247">
        <f>F20/$F$20*100</f>
        <v>100</v>
      </c>
      <c r="F20" s="247">
        <f>SUM(F12:F19)</f>
        <v>27606000</v>
      </c>
      <c r="G20" s="260">
        <f>SUM(G12:G19)</f>
        <v>17.7</v>
      </c>
      <c r="H20" s="256">
        <f>SUM(H12:H19)</f>
        <v>69030000</v>
      </c>
      <c r="I20" s="267">
        <f>SUM(I12:I19)</f>
        <v>17.7</v>
      </c>
      <c r="J20" s="247">
        <f>SUM(J12:J19)</f>
        <v>69030000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1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359106000</v>
      </c>
      <c r="G47" s="252">
        <f>SUM(G20,G24,G27,G28,G29,G30,SUM(G33:G46))</f>
        <v>102.69999999999999</v>
      </c>
      <c r="H47" s="186">
        <f>SUM(H20,H24,H27,H28,H29,H30,SUM(H33:H46))</f>
        <v>400530000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7">
    <mergeCell ref="I10:J10"/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55" orientation="portrait" r:id="rId1"/>
  <colBreaks count="1" manualBreakCount="1">
    <brk id="11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W63"/>
  <sheetViews>
    <sheetView view="pageBreakPreview" topLeftCell="A10" zoomScale="85" zoomScaleNormal="85" zoomScaleSheetLayoutView="85" workbookViewId="0">
      <selection activeCell="I12" sqref="I12:I18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274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14.475128789798159</v>
      </c>
      <c r="D12" s="236">
        <v>5999000</v>
      </c>
      <c r="E12" s="261">
        <f>F12/$F$20*100</f>
        <v>15.413295686955891</v>
      </c>
      <c r="F12" s="237">
        <f>(O12)+-2000</f>
        <v>4258000</v>
      </c>
      <c r="G12" s="268">
        <f>H12/$U$9*100</f>
        <v>2.63</v>
      </c>
      <c r="H12" s="257">
        <f>D12+F12</f>
        <v>10257000</v>
      </c>
      <c r="I12" s="266">
        <v>2.63</v>
      </c>
      <c r="J12" s="257">
        <f>I12/100*$U$9</f>
        <v>10257000</v>
      </c>
      <c r="K12" s="270">
        <f>J12-H12</f>
        <v>0</v>
      </c>
      <c r="L12" s="238">
        <f t="shared" ref="L12:L19" si="0">F12/$F$20</f>
        <v>0.15413295686955891</v>
      </c>
      <c r="M12" s="238">
        <f>L12*100</f>
        <v>15.413295686955891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11.923295686955891</v>
      </c>
      <c r="T12" s="206">
        <f>(S12/100)*$U$9</f>
        <v>46500853.179127976</v>
      </c>
      <c r="U12" s="196">
        <f>R12+T12</f>
        <v>60111853.179127976</v>
      </c>
      <c r="V12" s="2">
        <v>-2000</v>
      </c>
      <c r="W12" s="208">
        <f t="shared" ref="W12:W32" si="2">(E12/100)*$U$9</f>
        <v>60111853.179127976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9.7421791113202314</v>
      </c>
      <c r="D13" s="236">
        <v>4037500</v>
      </c>
      <c r="E13" s="261">
        <f t="shared" ref="E13:E19" si="4">F13/$F$20*100</f>
        <v>7.8315324609509327</v>
      </c>
      <c r="F13" s="237">
        <f>(O13)+7500</f>
        <v>2163500</v>
      </c>
      <c r="G13" s="268">
        <f t="shared" ref="G13:G18" si="5">H13/$U$9*100</f>
        <v>1.59</v>
      </c>
      <c r="H13" s="257">
        <f t="shared" ref="H13:H19" si="6">D13+F13</f>
        <v>6201000</v>
      </c>
      <c r="I13" s="266">
        <v>1.59</v>
      </c>
      <c r="J13" s="257">
        <f t="shared" ref="J13:J19" si="7">I13/100*$U$9</f>
        <v>6201000</v>
      </c>
      <c r="K13" s="270">
        <f t="shared" ref="K13:K19" si="8">J13-H13</f>
        <v>0</v>
      </c>
      <c r="L13" s="238">
        <f t="shared" si="0"/>
        <v>7.8315324609509324E-2</v>
      </c>
      <c r="M13" s="238">
        <f>L13*100</f>
        <v>7.8315324609509327</v>
      </c>
      <c r="N13" s="239">
        <v>4030000</v>
      </c>
      <c r="O13" s="239">
        <v>2156000</v>
      </c>
      <c r="P13" s="239">
        <f t="shared" ref="P13:P18" si="9">N13+O13</f>
        <v>6186000</v>
      </c>
      <c r="Q13" s="195">
        <v>1.39</v>
      </c>
      <c r="R13" s="191">
        <f t="shared" ref="R13:R20" si="10">(Q13/100)*$U$9</f>
        <v>5421000</v>
      </c>
      <c r="S13" s="192">
        <f t="shared" si="1"/>
        <v>6.441532460950933</v>
      </c>
      <c r="T13" s="206">
        <f t="shared" ref="T13:T17" si="11">(S13/100)*$U$9</f>
        <v>25121976.597708639</v>
      </c>
      <c r="U13" s="196">
        <f t="shared" ref="U13:U17" si="12">R13+T13</f>
        <v>30542976.597708639</v>
      </c>
      <c r="V13" s="2">
        <v>7500</v>
      </c>
      <c r="W13" s="208">
        <f t="shared" si="2"/>
        <v>30542976.597708635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15.019243065860749</v>
      </c>
      <c r="D14" s="236">
        <v>6224500</v>
      </c>
      <c r="E14" s="261">
        <f t="shared" si="4"/>
        <v>12.620586052741126</v>
      </c>
      <c r="F14" s="237">
        <f>(O14)+6500</f>
        <v>3486500</v>
      </c>
      <c r="G14" s="268">
        <f t="shared" si="5"/>
        <v>2.4899999999999998</v>
      </c>
      <c r="H14" s="257">
        <f t="shared" si="6"/>
        <v>9711000</v>
      </c>
      <c r="I14" s="266">
        <v>2.4900000000000002</v>
      </c>
      <c r="J14" s="257">
        <f t="shared" si="7"/>
        <v>9711000</v>
      </c>
      <c r="K14" s="270">
        <f t="shared" si="8"/>
        <v>0</v>
      </c>
      <c r="L14" s="238">
        <f t="shared" si="0"/>
        <v>0.12620586052741126</v>
      </c>
      <c r="M14" s="238">
        <f t="shared" ref="M14:M19" si="13">L14*100</f>
        <v>12.620586052741126</v>
      </c>
      <c r="N14" s="239">
        <v>6218000</v>
      </c>
      <c r="O14" s="239">
        <v>3480000</v>
      </c>
      <c r="P14" s="239">
        <f t="shared" si="9"/>
        <v>9698000</v>
      </c>
      <c r="Q14" s="195">
        <v>2.83</v>
      </c>
      <c r="R14" s="191">
        <f t="shared" si="10"/>
        <v>11037000</v>
      </c>
      <c r="S14" s="192">
        <f t="shared" si="1"/>
        <v>9.7905860527411264</v>
      </c>
      <c r="T14" s="206">
        <f t="shared" si="11"/>
        <v>38183285.60569039</v>
      </c>
      <c r="U14" s="196">
        <f t="shared" si="12"/>
        <v>49220285.60569039</v>
      </c>
      <c r="V14" s="2">
        <v>6500</v>
      </c>
      <c r="W14" s="208">
        <f t="shared" si="2"/>
        <v>49220285.60569039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19.427654517596245</v>
      </c>
      <c r="D15" s="236">
        <v>8051500</v>
      </c>
      <c r="E15" s="261">
        <f t="shared" si="4"/>
        <v>17.0186964941811</v>
      </c>
      <c r="F15" s="237">
        <f>(O15)+-6500</f>
        <v>4701500</v>
      </c>
      <c r="G15" s="268">
        <f t="shared" si="5"/>
        <v>3.27</v>
      </c>
      <c r="H15" s="257">
        <f t="shared" si="6"/>
        <v>12753000</v>
      </c>
      <c r="I15" s="266">
        <v>3.27</v>
      </c>
      <c r="J15" s="257">
        <f t="shared" si="7"/>
        <v>12753000</v>
      </c>
      <c r="K15" s="270">
        <f t="shared" si="8"/>
        <v>0</v>
      </c>
      <c r="L15" s="238">
        <f t="shared" si="0"/>
        <v>0.17018696494181101</v>
      </c>
      <c r="M15" s="238">
        <f t="shared" si="13"/>
        <v>17.0186964941811</v>
      </c>
      <c r="N15" s="239">
        <v>8058000</v>
      </c>
      <c r="O15" s="239">
        <v>4708000</v>
      </c>
      <c r="P15" s="239">
        <f t="shared" si="9"/>
        <v>12766000</v>
      </c>
      <c r="Q15" s="195">
        <v>2.88</v>
      </c>
      <c r="R15" s="191">
        <f t="shared" si="10"/>
        <v>11232000</v>
      </c>
      <c r="S15" s="192">
        <f t="shared" si="1"/>
        <v>14.138696494181101</v>
      </c>
      <c r="T15" s="206">
        <f>(S15/100)*$U$9</f>
        <v>55140916.3273063</v>
      </c>
      <c r="U15" s="196">
        <f>R15+T15</f>
        <v>66372916.3273063</v>
      </c>
      <c r="V15" s="2">
        <v>-6500</v>
      </c>
      <c r="W15" s="208">
        <f t="shared" si="2"/>
        <v>66372916.327306286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15.19779941365956</v>
      </c>
      <c r="D16" s="236">
        <v>6298500</v>
      </c>
      <c r="E16" s="261">
        <f t="shared" si="4"/>
        <v>17.1526307216159</v>
      </c>
      <c r="F16" s="237">
        <f>(O16)+-3500</f>
        <v>4738500</v>
      </c>
      <c r="G16" s="268">
        <f t="shared" si="5"/>
        <v>2.83</v>
      </c>
      <c r="H16" s="257">
        <f t="shared" si="6"/>
        <v>11037000</v>
      </c>
      <c r="I16" s="266">
        <v>2.83</v>
      </c>
      <c r="J16" s="257">
        <f t="shared" si="7"/>
        <v>11037000</v>
      </c>
      <c r="K16" s="270">
        <f t="shared" si="8"/>
        <v>0</v>
      </c>
      <c r="L16" s="238">
        <f t="shared" si="0"/>
        <v>0.171526307216159</v>
      </c>
      <c r="M16" s="238">
        <f t="shared" si="13"/>
        <v>17.1526307216159</v>
      </c>
      <c r="N16" s="239">
        <v>8472000</v>
      </c>
      <c r="O16" s="239">
        <v>4742000</v>
      </c>
      <c r="P16" s="239">
        <f t="shared" si="9"/>
        <v>13214000</v>
      </c>
      <c r="Q16" s="195">
        <v>2.58</v>
      </c>
      <c r="R16" s="191">
        <f t="shared" si="10"/>
        <v>10062000</v>
      </c>
      <c r="S16" s="192">
        <f t="shared" si="1"/>
        <v>14.5726307216159</v>
      </c>
      <c r="T16" s="206">
        <f t="shared" si="11"/>
        <v>56833259.814302012</v>
      </c>
      <c r="U16" s="196">
        <f t="shared" si="12"/>
        <v>66895259.814302012</v>
      </c>
      <c r="V16" s="2">
        <v>-3500</v>
      </c>
      <c r="W16" s="208">
        <f t="shared" si="2"/>
        <v>66895259.814302005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11.084971105239664</v>
      </c>
      <c r="D17" s="236">
        <v>4594000</v>
      </c>
      <c r="E17" s="261">
        <f t="shared" si="4"/>
        <v>14.005176376898158</v>
      </c>
      <c r="F17" s="237">
        <f>(O17)+9000</f>
        <v>3869000</v>
      </c>
      <c r="G17" s="268">
        <f t="shared" si="5"/>
        <v>2.17</v>
      </c>
      <c r="H17" s="257">
        <f t="shared" si="6"/>
        <v>8463000</v>
      </c>
      <c r="I17" s="266">
        <v>2.17</v>
      </c>
      <c r="J17" s="257">
        <f t="shared" si="7"/>
        <v>8463000</v>
      </c>
      <c r="K17" s="270">
        <f t="shared" si="8"/>
        <v>0</v>
      </c>
      <c r="L17" s="238">
        <f t="shared" si="0"/>
        <v>0.14005176376898157</v>
      </c>
      <c r="M17" s="238">
        <f t="shared" si="13"/>
        <v>14.005176376898158</v>
      </c>
      <c r="N17" s="239">
        <v>4585000</v>
      </c>
      <c r="O17" s="239">
        <v>3860000</v>
      </c>
      <c r="P17" s="239">
        <f t="shared" si="9"/>
        <v>8445000</v>
      </c>
      <c r="Q17" s="195">
        <v>1.83</v>
      </c>
      <c r="R17" s="191">
        <f t="shared" si="10"/>
        <v>7137000</v>
      </c>
      <c r="S17" s="192">
        <f t="shared" si="1"/>
        <v>12.175176376898158</v>
      </c>
      <c r="T17" s="206">
        <f t="shared" si="11"/>
        <v>47483187.869902812</v>
      </c>
      <c r="U17" s="196">
        <f t="shared" si="12"/>
        <v>54620187.869902812</v>
      </c>
      <c r="V17" s="2">
        <v>9000</v>
      </c>
      <c r="W17" s="208">
        <f t="shared" si="2"/>
        <v>54620187.869902812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9.8000892781738997</v>
      </c>
      <c r="D18" s="236">
        <v>4061500</v>
      </c>
      <c r="E18" s="261">
        <f t="shared" si="4"/>
        <v>15.932743298763825</v>
      </c>
      <c r="F18" s="237">
        <f>(O18)+1500</f>
        <v>4401500</v>
      </c>
      <c r="G18" s="268">
        <f t="shared" si="5"/>
        <v>2.17</v>
      </c>
      <c r="H18" s="257">
        <f t="shared" si="6"/>
        <v>8463000</v>
      </c>
      <c r="I18" s="266">
        <v>2.17</v>
      </c>
      <c r="J18" s="257">
        <f t="shared" si="7"/>
        <v>8463000</v>
      </c>
      <c r="K18" s="270">
        <f t="shared" si="8"/>
        <v>0</v>
      </c>
      <c r="L18" s="238">
        <f t="shared" si="0"/>
        <v>0.15932743298763824</v>
      </c>
      <c r="M18" s="238">
        <f t="shared" si="13"/>
        <v>15.932743298763825</v>
      </c>
      <c r="N18" s="239">
        <v>4060000</v>
      </c>
      <c r="O18" s="239">
        <v>4400000</v>
      </c>
      <c r="P18" s="239">
        <f t="shared" si="9"/>
        <v>8460000</v>
      </c>
      <c r="Q18" s="240"/>
      <c r="R18" s="241"/>
      <c r="S18" s="242"/>
      <c r="T18" s="243"/>
      <c r="U18" s="244"/>
      <c r="V18" s="2">
        <v>1500</v>
      </c>
      <c r="W18" s="208">
        <f t="shared" si="2"/>
        <v>62137698.865178913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5.252934718351491</v>
      </c>
      <c r="D19" s="236">
        <v>2177000</v>
      </c>
      <c r="E19" s="261">
        <f t="shared" si="4"/>
        <v>2.5338907893070639E-2</v>
      </c>
      <c r="F19" s="237">
        <f>(O19)+7000.00000000023</f>
        <v>7000.0000000002301</v>
      </c>
      <c r="G19" s="268">
        <f>H19/$U$9*100</f>
        <v>0.55999999999999994</v>
      </c>
      <c r="H19" s="257">
        <f t="shared" si="6"/>
        <v>2184000</v>
      </c>
      <c r="I19" s="266">
        <v>0.56000000000000005</v>
      </c>
      <c r="J19" s="257">
        <f t="shared" si="7"/>
        <v>2184000.0000000005</v>
      </c>
      <c r="K19" s="270">
        <f t="shared" si="8"/>
        <v>0</v>
      </c>
      <c r="L19" s="238">
        <f t="shared" si="0"/>
        <v>2.5338907893070639E-4</v>
      </c>
      <c r="M19" s="238">
        <f t="shared" si="13"/>
        <v>2.5338907893070639E-2</v>
      </c>
      <c r="N19" s="239"/>
      <c r="O19" s="239"/>
      <c r="P19" s="239"/>
      <c r="Q19" s="240"/>
      <c r="R19" s="241"/>
      <c r="S19" s="242"/>
      <c r="T19" s="243"/>
      <c r="U19" s="244"/>
      <c r="V19" s="2">
        <v>7000.0000000002328</v>
      </c>
      <c r="W19" s="208">
        <f t="shared" si="2"/>
        <v>98821.740782975496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41443500</v>
      </c>
      <c r="E20" s="247">
        <f>F20/$F$20*100</f>
        <v>100</v>
      </c>
      <c r="F20" s="247">
        <f>SUM(F12:F19)</f>
        <v>27625500</v>
      </c>
      <c r="G20" s="260">
        <f>SUM(G12:G19)</f>
        <v>17.709999999999997</v>
      </c>
      <c r="H20" s="256">
        <f>SUM(H12:H19)</f>
        <v>69069000</v>
      </c>
      <c r="I20" s="267">
        <f>SUM(I12:I19)</f>
        <v>17.709999999999997</v>
      </c>
      <c r="J20" s="247">
        <f>SUM(J12:J19)</f>
        <v>69069000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0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4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4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4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4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4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4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4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4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4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4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4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4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4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359125500</v>
      </c>
      <c r="G47" s="252">
        <f>SUM(G20,G24,G27,G28,G29,G30,SUM(G33:G46))</f>
        <v>102.71</v>
      </c>
      <c r="H47" s="186">
        <f>SUM(H20,H24,H27,H28,H29,H30,SUM(H33:H46))</f>
        <v>400569000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Q63"/>
  <sheetViews>
    <sheetView view="pageBreakPreview" zoomScale="70" zoomScaleNormal="85" zoomScaleSheetLayoutView="70" workbookViewId="0">
      <selection activeCell="N13" sqref="N1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2.88671875" style="17" customWidth="1"/>
    <col min="10" max="10" width="14.88671875" style="17" customWidth="1"/>
    <col min="11" max="11" width="15" style="17" customWidth="1"/>
    <col min="12" max="12" width="7" style="17" customWidth="1"/>
    <col min="13" max="13" width="15" style="17" customWidth="1"/>
    <col min="14" max="14" width="11.44140625" style="17" customWidth="1"/>
    <col min="15" max="15" width="7" style="17"/>
    <col min="16" max="16" width="18.109375" style="17" customWidth="1"/>
    <col min="17" max="16384" width="7" style="17"/>
  </cols>
  <sheetData>
    <row r="3" spans="1:14" ht="9.75" customHeight="1" x14ac:dyDescent="0.25">
      <c r="A3" s="15"/>
      <c r="B3" s="15"/>
      <c r="C3" s="15"/>
      <c r="D3" s="15"/>
      <c r="E3" s="16"/>
      <c r="F3" s="15"/>
      <c r="G3" s="16"/>
      <c r="H3" s="15"/>
      <c r="I3" s="225"/>
    </row>
    <row r="4" spans="1:14" ht="9.75" customHeight="1" x14ac:dyDescent="0.25">
      <c r="A4" s="15"/>
      <c r="B4" s="15"/>
      <c r="C4" s="15"/>
      <c r="D4" s="15"/>
      <c r="E4" s="16"/>
      <c r="F4" s="15"/>
      <c r="G4" s="16"/>
      <c r="H4" s="15"/>
      <c r="I4" s="225"/>
    </row>
    <row r="5" spans="1:14" ht="9.75" customHeight="1" x14ac:dyDescent="0.25">
      <c r="A5" s="15"/>
      <c r="B5" s="15"/>
      <c r="C5" s="15"/>
      <c r="D5" s="15"/>
      <c r="E5" s="16"/>
      <c r="F5" s="15"/>
      <c r="G5" s="16"/>
      <c r="H5" s="15"/>
      <c r="I5" s="225"/>
    </row>
    <row r="6" spans="1:14" ht="9.75" customHeight="1" x14ac:dyDescent="0.25">
      <c r="A6" s="15"/>
      <c r="B6" s="15"/>
      <c r="C6" s="15"/>
      <c r="D6" s="15"/>
      <c r="E6" s="16"/>
      <c r="F6" s="15"/>
      <c r="G6" s="16"/>
      <c r="H6" s="15"/>
      <c r="I6" s="225"/>
    </row>
    <row r="7" spans="1:14" ht="12.75" customHeight="1" x14ac:dyDescent="0.25">
      <c r="A7" s="15"/>
      <c r="B7" s="15"/>
      <c r="C7" s="15"/>
      <c r="D7" s="15"/>
      <c r="E7" s="16"/>
      <c r="F7" s="15"/>
      <c r="G7" s="16"/>
      <c r="H7" s="15"/>
      <c r="I7" s="226"/>
    </row>
    <row r="8" spans="1:14" ht="23.25" customHeight="1" thickBot="1" x14ac:dyDescent="0.3">
      <c r="A8" s="407" t="s">
        <v>282</v>
      </c>
      <c r="B8" s="407"/>
      <c r="C8" s="407"/>
      <c r="D8" s="407"/>
      <c r="E8" s="407"/>
      <c r="F8" s="407"/>
      <c r="G8" s="407"/>
      <c r="H8" s="407"/>
    </row>
    <row r="9" spans="1:14" s="20" customFormat="1" ht="21.75" customHeight="1" x14ac:dyDescent="0.25">
      <c r="E9" s="21"/>
      <c r="G9" s="21"/>
      <c r="J9" s="202" t="s">
        <v>260</v>
      </c>
      <c r="K9" s="228">
        <v>440000000</v>
      </c>
    </row>
    <row r="10" spans="1:14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K10" s="204" t="s">
        <v>261</v>
      </c>
      <c r="M10" s="208"/>
    </row>
    <row r="11" spans="1:14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K11" s="233"/>
      <c r="M11" s="208"/>
      <c r="N11" s="276">
        <f>'National Target April''23'!E17</f>
        <v>74340000</v>
      </c>
    </row>
    <row r="12" spans="1:14" s="2" customFormat="1" ht="30" customHeight="1" x14ac:dyDescent="0.25">
      <c r="A12" s="234">
        <v>1</v>
      </c>
      <c r="B12" s="235" t="s">
        <v>79</v>
      </c>
      <c r="C12" s="268">
        <f>D12/$D$20*100</f>
        <v>13.903936439147706</v>
      </c>
      <c r="D12" s="236">
        <v>6160000</v>
      </c>
      <c r="E12" s="261">
        <f>F12/$F$20*100</f>
        <v>16.119136262099776</v>
      </c>
      <c r="F12" s="237">
        <v>5412000</v>
      </c>
      <c r="G12" s="259">
        <f t="shared" ref="G12:G19" si="0">H12/$K$9*100</f>
        <v>2.63</v>
      </c>
      <c r="H12" s="257">
        <f>D12+F12</f>
        <v>11572000</v>
      </c>
      <c r="I12" s="239"/>
      <c r="J12" s="206"/>
      <c r="K12" s="196"/>
      <c r="L12" s="2" t="s">
        <v>270</v>
      </c>
      <c r="M12" s="278">
        <f>D20/H20</f>
        <v>0.56888249720720607</v>
      </c>
      <c r="N12" s="25">
        <f>N11*M12</f>
        <v>42290724.842383698</v>
      </c>
    </row>
    <row r="13" spans="1:14" s="2" customFormat="1" ht="30" customHeight="1" x14ac:dyDescent="0.25">
      <c r="A13" s="234">
        <v>2</v>
      </c>
      <c r="B13" s="235" t="s">
        <v>80</v>
      </c>
      <c r="C13" s="268">
        <f t="shared" ref="C13:C19" si="1">D13/$D$20*100</f>
        <v>10.026182737450343</v>
      </c>
      <c r="D13" s="236">
        <v>4442000</v>
      </c>
      <c r="E13" s="261">
        <f t="shared" ref="E13:E19" si="2">F13/$F$20*100</f>
        <v>7.6068503350707379</v>
      </c>
      <c r="F13" s="237">
        <v>2554000</v>
      </c>
      <c r="G13" s="259">
        <f t="shared" si="0"/>
        <v>1.59</v>
      </c>
      <c r="H13" s="257">
        <f t="shared" ref="H13:H19" si="3">D13+F13</f>
        <v>6996000</v>
      </c>
      <c r="I13" s="239"/>
      <c r="J13" s="206"/>
      <c r="K13" s="196"/>
      <c r="L13" s="2" t="s">
        <v>271</v>
      </c>
      <c r="M13" s="278">
        <f>F20/H20</f>
        <v>0.43111750279279393</v>
      </c>
      <c r="N13" s="25">
        <f>N11*M13</f>
        <v>32049275.157616302</v>
      </c>
    </row>
    <row r="14" spans="1:14" s="2" customFormat="1" ht="30" customHeight="1" x14ac:dyDescent="0.25">
      <c r="A14" s="234">
        <v>3</v>
      </c>
      <c r="B14" s="235" t="s">
        <v>81</v>
      </c>
      <c r="C14" s="268">
        <f t="shared" si="1"/>
        <v>14.386962802455761</v>
      </c>
      <c r="D14" s="236">
        <v>6374000</v>
      </c>
      <c r="E14" s="261">
        <f t="shared" si="2"/>
        <v>13.644080416976918</v>
      </c>
      <c r="F14" s="237">
        <v>4581000</v>
      </c>
      <c r="G14" s="259">
        <f t="shared" si="0"/>
        <v>2.4897727272727272</v>
      </c>
      <c r="H14" s="257">
        <f t="shared" si="3"/>
        <v>10955000</v>
      </c>
      <c r="I14" s="239"/>
      <c r="J14" s="206"/>
      <c r="K14" s="196"/>
      <c r="M14" s="208"/>
    </row>
    <row r="15" spans="1:14" s="2" customFormat="1" ht="30" customHeight="1" x14ac:dyDescent="0.25">
      <c r="A15" s="234">
        <v>4</v>
      </c>
      <c r="B15" s="235" t="s">
        <v>82</v>
      </c>
      <c r="C15" s="268">
        <f t="shared" si="1"/>
        <v>19.939508847959551</v>
      </c>
      <c r="D15" s="236">
        <v>8834000</v>
      </c>
      <c r="E15" s="261">
        <f t="shared" si="2"/>
        <v>16.542069992553984</v>
      </c>
      <c r="F15" s="237">
        <v>5554000</v>
      </c>
      <c r="G15" s="259">
        <f t="shared" si="0"/>
        <v>3.27</v>
      </c>
      <c r="H15" s="257">
        <f t="shared" si="3"/>
        <v>14388000</v>
      </c>
      <c r="I15" s="239"/>
      <c r="J15" s="206"/>
      <c r="K15" s="196"/>
      <c r="M15" s="208"/>
    </row>
    <row r="16" spans="1:14" s="2" customFormat="1" ht="30" customHeight="1" x14ac:dyDescent="0.25">
      <c r="A16" s="234">
        <v>5</v>
      </c>
      <c r="B16" s="235" t="s">
        <v>83</v>
      </c>
      <c r="C16" s="268">
        <f t="shared" si="1"/>
        <v>15.465872156013003</v>
      </c>
      <c r="D16" s="236">
        <v>6852000</v>
      </c>
      <c r="E16" s="261">
        <f t="shared" si="2"/>
        <v>16.679076693968728</v>
      </c>
      <c r="F16" s="237">
        <v>5600000</v>
      </c>
      <c r="G16" s="259">
        <f t="shared" si="0"/>
        <v>2.83</v>
      </c>
      <c r="H16" s="257">
        <f t="shared" si="3"/>
        <v>12452000</v>
      </c>
      <c r="I16" s="239"/>
      <c r="J16" s="206"/>
      <c r="K16" s="196"/>
      <c r="M16" s="208"/>
    </row>
    <row r="17" spans="1:17" s="2" customFormat="1" ht="30" customHeight="1" x14ac:dyDescent="0.25">
      <c r="A17" s="234">
        <v>6</v>
      </c>
      <c r="B17" s="235" t="s">
        <v>84</v>
      </c>
      <c r="C17" s="268">
        <f t="shared" si="1"/>
        <v>11.651318165402673</v>
      </c>
      <c r="D17" s="236">
        <v>5162000</v>
      </c>
      <c r="E17" s="261">
        <f t="shared" si="2"/>
        <v>13.063291139240507</v>
      </c>
      <c r="F17" s="237">
        <v>4386000</v>
      </c>
      <c r="G17" s="259">
        <f t="shared" si="0"/>
        <v>2.17</v>
      </c>
      <c r="H17" s="257">
        <f t="shared" si="3"/>
        <v>9548000</v>
      </c>
      <c r="I17" s="239"/>
      <c r="J17" s="206"/>
      <c r="K17" s="196"/>
      <c r="M17" s="208"/>
    </row>
    <row r="18" spans="1:17" s="2" customFormat="1" ht="30" customHeight="1" x14ac:dyDescent="0.25">
      <c r="A18" s="234">
        <v>7</v>
      </c>
      <c r="B18" s="235" t="s">
        <v>268</v>
      </c>
      <c r="C18" s="268">
        <f t="shared" si="1"/>
        <v>9.1639581076200791</v>
      </c>
      <c r="D18" s="236">
        <v>4060000</v>
      </c>
      <c r="E18" s="261">
        <f t="shared" si="2"/>
        <v>16.345495160089353</v>
      </c>
      <c r="F18" s="237">
        <v>5488000</v>
      </c>
      <c r="G18" s="259">
        <f t="shared" si="0"/>
        <v>2.17</v>
      </c>
      <c r="H18" s="257">
        <f t="shared" si="3"/>
        <v>9548000</v>
      </c>
      <c r="I18" s="239"/>
      <c r="J18" s="243"/>
      <c r="K18" s="244"/>
      <c r="M18" s="208"/>
    </row>
    <row r="19" spans="1:17" s="2" customFormat="1" ht="30" customHeight="1" x14ac:dyDescent="0.25">
      <c r="A19" s="234">
        <v>8</v>
      </c>
      <c r="B19" s="235" t="s">
        <v>269</v>
      </c>
      <c r="C19" s="268">
        <f t="shared" si="1"/>
        <v>5.4622607439508846</v>
      </c>
      <c r="D19" s="236">
        <v>2420000</v>
      </c>
      <c r="E19" s="261">
        <f t="shared" si="2"/>
        <v>0</v>
      </c>
      <c r="F19" s="237">
        <f>I19</f>
        <v>0</v>
      </c>
      <c r="G19" s="259">
        <f t="shared" si="0"/>
        <v>0.54999999999999993</v>
      </c>
      <c r="H19" s="257">
        <f t="shared" si="3"/>
        <v>2420000</v>
      </c>
      <c r="I19" s="239"/>
      <c r="J19" s="243"/>
      <c r="K19" s="244"/>
      <c r="M19" s="208"/>
    </row>
    <row r="20" spans="1:1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44304000</v>
      </c>
      <c r="E20" s="247">
        <f>F20/$F$20*100</f>
        <v>100</v>
      </c>
      <c r="F20" s="247">
        <f>SUM(F12:F19)</f>
        <v>33575000</v>
      </c>
      <c r="G20" s="260">
        <f>SUM(G12:G19)</f>
        <v>17.699772727272727</v>
      </c>
      <c r="H20" s="256">
        <f>SUM(H12:H19)</f>
        <v>77879000</v>
      </c>
      <c r="I20" s="25"/>
      <c r="J20" s="207"/>
      <c r="K20" s="200"/>
      <c r="M20" s="208"/>
      <c r="N20" s="276"/>
      <c r="P20" s="3">
        <v>77880000</v>
      </c>
      <c r="Q20" s="277">
        <f>P20-H20</f>
        <v>1000</v>
      </c>
    </row>
    <row r="21" spans="1:1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M21" s="208">
        <f t="shared" ref="M21:M32" si="4">(E21/100)*$K$9</f>
        <v>12760000</v>
      </c>
    </row>
    <row r="22" spans="1:1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K22" s="213">
        <f>K9*E20%/100000</f>
        <v>4400</v>
      </c>
      <c r="M22" s="208">
        <f t="shared" si="4"/>
        <v>14740000</v>
      </c>
    </row>
    <row r="23" spans="1:1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M23" s="208">
        <f t="shared" si="4"/>
        <v>12760000</v>
      </c>
    </row>
    <row r="24" spans="1:1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M24" s="208">
        <f t="shared" si="4"/>
        <v>40260000</v>
      </c>
    </row>
    <row r="25" spans="1:1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M25" s="208">
        <f t="shared" si="4"/>
        <v>15840000.000000002</v>
      </c>
    </row>
    <row r="26" spans="1:1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M26" s="208">
        <f t="shared" si="4"/>
        <v>14300000</v>
      </c>
    </row>
    <row r="27" spans="1:1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M27" s="208">
        <f t="shared" si="4"/>
        <v>30139999.999999996</v>
      </c>
    </row>
    <row r="28" spans="1:1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M28" s="208">
        <f t="shared" si="4"/>
        <v>24200000</v>
      </c>
    </row>
    <row r="29" spans="1:1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M29" s="208">
        <f t="shared" si="4"/>
        <v>23540000</v>
      </c>
    </row>
    <row r="30" spans="1:1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M30" s="208">
        <f t="shared" si="4"/>
        <v>22880000.000000004</v>
      </c>
    </row>
    <row r="31" spans="1:1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M31" s="208">
        <f t="shared" si="4"/>
        <v>12100000</v>
      </c>
    </row>
    <row r="32" spans="1:1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M32" s="208">
        <f t="shared" si="4"/>
        <v>12760000</v>
      </c>
    </row>
    <row r="33" spans="1:1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M33" s="208"/>
    </row>
    <row r="34" spans="1:1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M34" s="208">
        <f t="shared" ref="M34:M46" si="5">(E34/100)*$K$9</f>
        <v>20240000</v>
      </c>
    </row>
    <row r="35" spans="1:1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M35" s="208">
        <f t="shared" si="5"/>
        <v>19800000</v>
      </c>
    </row>
    <row r="36" spans="1:1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19"/>
      <c r="M36" s="208">
        <f t="shared" si="5"/>
        <v>18480000</v>
      </c>
    </row>
    <row r="37" spans="1:1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19"/>
      <c r="M37" s="208">
        <f t="shared" si="5"/>
        <v>17380000</v>
      </c>
    </row>
    <row r="38" spans="1:1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M38" s="208">
        <f t="shared" si="5"/>
        <v>17380000</v>
      </c>
    </row>
    <row r="39" spans="1:1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M39" s="208">
        <f t="shared" si="5"/>
        <v>17072000</v>
      </c>
    </row>
    <row r="40" spans="1:1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M40" s="208">
        <f t="shared" si="5"/>
        <v>16500000</v>
      </c>
    </row>
    <row r="41" spans="1:1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M41" s="208">
        <f t="shared" si="5"/>
        <v>14343999.999999998</v>
      </c>
    </row>
    <row r="42" spans="1:1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M42" s="208">
        <f t="shared" si="5"/>
        <v>14784000.000000002</v>
      </c>
    </row>
    <row r="43" spans="1:1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M43" s="208">
        <f t="shared" si="5"/>
        <v>14652000.000000002</v>
      </c>
    </row>
    <row r="44" spans="1:1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M44" s="208">
        <f t="shared" si="5"/>
        <v>13904000.000000002</v>
      </c>
    </row>
    <row r="45" spans="1:1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M45" s="208">
        <f t="shared" si="5"/>
        <v>13464000.000000002</v>
      </c>
    </row>
    <row r="46" spans="1:1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M46" s="208">
        <f t="shared" si="5"/>
        <v>10120000</v>
      </c>
    </row>
    <row r="47" spans="1:1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365075000</v>
      </c>
      <c r="G47" s="252">
        <f>SUM(G20,G24,G27,G28,G29,G30,SUM(G33:G46))</f>
        <v>102.69977272727272</v>
      </c>
      <c r="H47" s="186">
        <f>SUM(H20,H24,H27,H28,H29,H30,SUM(H33:H46))</f>
        <v>409379000</v>
      </c>
      <c r="M47" s="254">
        <f>SUM(M20,M24,M27,M28,M29,M30,SUM(M31:M46))</f>
        <v>374000000</v>
      </c>
    </row>
    <row r="48" spans="1:1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M48" s="265"/>
    </row>
    <row r="49" spans="1:1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M49" s="265"/>
    </row>
    <row r="50" spans="1:1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M50" s="265"/>
    </row>
    <row r="51" spans="1:13" ht="18" customHeight="1" x14ac:dyDescent="0.25">
      <c r="A51" s="48"/>
      <c r="B51" s="48"/>
      <c r="C51" s="48"/>
      <c r="D51" s="48"/>
      <c r="E51" s="21"/>
      <c r="F51" s="187"/>
      <c r="G51" s="21"/>
      <c r="H51" s="187"/>
    </row>
    <row r="52" spans="1:13" ht="18" customHeight="1" x14ac:dyDescent="0.25">
      <c r="A52" s="48"/>
      <c r="B52" s="48"/>
      <c r="C52" s="48"/>
      <c r="D52" s="48"/>
      <c r="E52" s="21"/>
      <c r="F52" s="187"/>
      <c r="G52" s="21"/>
      <c r="H52" s="187"/>
    </row>
    <row r="53" spans="1:13" x14ac:dyDescent="0.25">
      <c r="A53" s="31"/>
      <c r="B53" s="31"/>
      <c r="C53" s="31"/>
      <c r="D53" s="31"/>
    </row>
    <row r="54" spans="1:13" x14ac:dyDescent="0.25">
      <c r="A54" s="31"/>
      <c r="B54" s="31"/>
      <c r="C54" s="31"/>
      <c r="D54" s="31"/>
    </row>
    <row r="55" spans="1:13" ht="15.6" x14ac:dyDescent="0.25">
      <c r="A55" s="31"/>
      <c r="B55" s="1"/>
      <c r="F55" s="1"/>
      <c r="H55" s="1"/>
    </row>
    <row r="56" spans="1:13" ht="26.25" customHeight="1" x14ac:dyDescent="0.25">
      <c r="A56" s="31"/>
      <c r="B56" s="1"/>
      <c r="F56" s="1"/>
      <c r="H56" s="1"/>
    </row>
    <row r="57" spans="1:13" ht="15.6" x14ac:dyDescent="0.25">
      <c r="B57" s="2"/>
      <c r="F57" s="3"/>
      <c r="H57" s="3"/>
    </row>
    <row r="58" spans="1:13" ht="15.6" x14ac:dyDescent="0.25">
      <c r="B58" s="1"/>
      <c r="F58" s="1"/>
      <c r="H58" s="1"/>
    </row>
    <row r="59" spans="1:13" s="24" customFormat="1" ht="15.6" x14ac:dyDescent="0.25">
      <c r="B59" s="4"/>
      <c r="E59" s="32"/>
      <c r="F59" s="4"/>
      <c r="G59" s="32"/>
      <c r="H59" s="4"/>
    </row>
    <row r="60" spans="1:13" s="24" customFormat="1" ht="24" customHeight="1" x14ac:dyDescent="0.25">
      <c r="A60" s="18"/>
      <c r="B60" s="1"/>
      <c r="E60" s="32"/>
      <c r="F60" s="1"/>
      <c r="G60" s="32"/>
      <c r="H60" s="1"/>
    </row>
    <row r="61" spans="1:13" s="24" customFormat="1" x14ac:dyDescent="0.25">
      <c r="A61" s="18"/>
      <c r="B61" s="18"/>
      <c r="C61" s="18"/>
      <c r="D61" s="18"/>
      <c r="E61" s="32"/>
      <c r="G61" s="32"/>
    </row>
    <row r="63" spans="1:1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W36"/>
  <sheetViews>
    <sheetView view="pageBreakPreview" topLeftCell="A11" zoomScale="85" zoomScaleNormal="85" zoomScaleSheetLayoutView="85" workbookViewId="0">
      <selection activeCell="F19" sqref="F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5" width="15.6640625" style="18" customWidth="1"/>
    <col min="6" max="6" width="16.5546875" style="18" customWidth="1"/>
    <col min="7" max="7" width="16.109375" style="30" hidden="1" customWidth="1"/>
    <col min="8" max="9" width="16.109375" style="30" customWidth="1"/>
    <col min="10" max="10" width="18.5546875" style="17" customWidth="1"/>
    <col min="11" max="11" width="16.109375" style="30" customWidth="1"/>
    <col min="12" max="12" width="18.5546875" style="17" customWidth="1"/>
    <col min="13" max="13" width="19" style="17" customWidth="1"/>
    <col min="14" max="14" width="18.5546875" style="17" customWidth="1"/>
    <col min="15" max="15" width="22" style="232" customWidth="1"/>
    <col min="16" max="16" width="14.88671875" style="17" customWidth="1"/>
    <col min="17" max="17" width="15" style="17" customWidth="1"/>
    <col min="18" max="18" width="7" style="17" customWidth="1"/>
    <col min="19" max="19" width="15" style="17" customWidth="1"/>
    <col min="20" max="20" width="11.44140625" style="17" customWidth="1"/>
    <col min="21" max="21" width="7" style="17"/>
    <col min="22" max="22" width="18.109375" style="17" customWidth="1"/>
    <col min="23" max="16384" width="7" style="17"/>
  </cols>
  <sheetData>
    <row r="3" spans="1:19" ht="9.75" customHeight="1" x14ac:dyDescent="0.25">
      <c r="A3" s="15"/>
      <c r="B3" s="15"/>
      <c r="C3" s="15"/>
      <c r="D3" s="15"/>
      <c r="E3" s="15"/>
      <c r="F3" s="15"/>
      <c r="G3" s="16"/>
      <c r="H3" s="16"/>
      <c r="I3" s="16"/>
      <c r="J3" s="15"/>
      <c r="K3" s="16"/>
      <c r="L3" s="15"/>
      <c r="M3" s="15"/>
      <c r="N3" s="15"/>
    </row>
    <row r="4" spans="1:19" ht="9.75" customHeight="1" x14ac:dyDescent="0.25">
      <c r="A4" s="15"/>
      <c r="B4" s="15"/>
      <c r="C4" s="15"/>
      <c r="D4" s="15"/>
      <c r="E4" s="15"/>
      <c r="F4" s="15"/>
      <c r="G4" s="16"/>
      <c r="H4" s="16"/>
      <c r="I4" s="16"/>
      <c r="J4" s="15"/>
      <c r="K4" s="16"/>
      <c r="L4" s="15"/>
      <c r="M4" s="15"/>
      <c r="N4" s="15"/>
    </row>
    <row r="5" spans="1:19" ht="9.75" customHeight="1" x14ac:dyDescent="0.25">
      <c r="A5" s="15"/>
      <c r="B5" s="15"/>
      <c r="C5" s="15"/>
      <c r="D5" s="15"/>
      <c r="E5" s="15"/>
      <c r="F5" s="15"/>
      <c r="G5" s="16"/>
      <c r="H5" s="16"/>
      <c r="I5" s="16"/>
      <c r="J5" s="15"/>
      <c r="K5" s="16"/>
      <c r="L5" s="15"/>
      <c r="M5" s="15"/>
      <c r="N5" s="15"/>
    </row>
    <row r="6" spans="1:19" ht="9.75" customHeight="1" x14ac:dyDescent="0.25">
      <c r="A6" s="15"/>
      <c r="B6" s="15"/>
      <c r="C6" s="15"/>
      <c r="D6" s="15"/>
      <c r="E6" s="15"/>
      <c r="F6" s="15"/>
      <c r="G6" s="16"/>
      <c r="H6" s="16"/>
      <c r="I6" s="16"/>
      <c r="J6" s="15"/>
      <c r="K6" s="16"/>
      <c r="L6" s="15"/>
      <c r="M6" s="15"/>
      <c r="N6" s="15"/>
    </row>
    <row r="7" spans="1:19" ht="12.75" customHeight="1" x14ac:dyDescent="0.25">
      <c r="A7" s="15"/>
      <c r="B7" s="15"/>
      <c r="C7" s="15"/>
      <c r="D7" s="15"/>
      <c r="E7" s="15"/>
      <c r="F7" s="15"/>
      <c r="G7" s="16"/>
      <c r="H7" s="16"/>
      <c r="I7" s="16"/>
      <c r="J7" s="15"/>
      <c r="K7" s="16"/>
      <c r="L7" s="15"/>
      <c r="M7" s="15"/>
      <c r="N7" s="15"/>
    </row>
    <row r="8" spans="1:19" ht="23.25" customHeight="1" thickBot="1" x14ac:dyDescent="0.3">
      <c r="A8" s="407" t="s">
        <v>297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258"/>
      <c r="N8" s="258"/>
    </row>
    <row r="9" spans="1:19" s="20" customFormat="1" ht="21.75" customHeight="1" x14ac:dyDescent="0.25">
      <c r="G9" s="21"/>
      <c r="H9" s="21"/>
      <c r="I9" s="21"/>
      <c r="K9" s="21"/>
      <c r="O9" s="232"/>
      <c r="P9" s="202" t="s">
        <v>260</v>
      </c>
      <c r="Q9" s="228">
        <v>450000000</v>
      </c>
    </row>
    <row r="10" spans="1:19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25"/>
      <c r="F10" s="411"/>
      <c r="G10" s="412" t="s">
        <v>271</v>
      </c>
      <c r="H10" s="426"/>
      <c r="I10" s="426"/>
      <c r="J10" s="413"/>
      <c r="K10" s="414" t="s">
        <v>40</v>
      </c>
      <c r="L10" s="414"/>
      <c r="M10" s="230"/>
      <c r="N10" s="230"/>
      <c r="O10" s="232"/>
      <c r="Q10" s="204" t="s">
        <v>261</v>
      </c>
      <c r="S10" s="208"/>
    </row>
    <row r="11" spans="1:19" s="3" customFormat="1" ht="60" customHeight="1" x14ac:dyDescent="0.25">
      <c r="A11" s="409"/>
      <c r="B11" s="409"/>
      <c r="C11" s="296" t="s">
        <v>77</v>
      </c>
      <c r="D11" s="230" t="s">
        <v>290</v>
      </c>
      <c r="E11" s="230"/>
      <c r="F11" s="230" t="s">
        <v>78</v>
      </c>
      <c r="G11" s="296" t="s">
        <v>77</v>
      </c>
      <c r="H11" s="230" t="s">
        <v>290</v>
      </c>
      <c r="I11" s="230"/>
      <c r="J11" s="230" t="s">
        <v>78</v>
      </c>
      <c r="K11" s="230" t="s">
        <v>77</v>
      </c>
      <c r="L11" s="230" t="s">
        <v>78</v>
      </c>
      <c r="M11" s="230" t="s">
        <v>273</v>
      </c>
      <c r="N11" s="230" t="s">
        <v>261</v>
      </c>
      <c r="O11" s="232"/>
      <c r="Q11" s="233"/>
      <c r="S11" s="208"/>
    </row>
    <row r="12" spans="1:19" s="2" customFormat="1" ht="30" customHeight="1" x14ac:dyDescent="0.25">
      <c r="A12" s="234">
        <v>1</v>
      </c>
      <c r="B12" s="306" t="s">
        <v>79</v>
      </c>
      <c r="C12" s="268">
        <f>F12/$F$20*100</f>
        <v>13.448042568198627</v>
      </c>
      <c r="D12" s="300">
        <v>1.1011363636363634</v>
      </c>
      <c r="E12" s="300">
        <f>D12*51/55</f>
        <v>1.0210537190082642</v>
      </c>
      <c r="F12" s="301">
        <f t="shared" ref="F12:F19" si="0">(D12/100)*$Q$9</f>
        <v>4955113.6363636348</v>
      </c>
      <c r="G12" s="302">
        <f>J12/$J$20*100</f>
        <v>15.926316803397317</v>
      </c>
      <c r="H12" s="303">
        <v>1.2433718422222224</v>
      </c>
      <c r="I12" s="303">
        <f>H12*49/45</f>
        <v>1.3538937837530867</v>
      </c>
      <c r="J12" s="304">
        <f t="shared" ref="J12:J19" si="1">(H12/100)*$Q$9</f>
        <v>5595173.290000001</v>
      </c>
      <c r="K12" s="259">
        <v>2.3293721000000001</v>
      </c>
      <c r="L12" s="257">
        <v>10482174.449999999</v>
      </c>
      <c r="M12" s="286"/>
      <c r="N12" s="257">
        <f t="shared" ref="N12:N19" si="2">M12/100*$Q$9</f>
        <v>0</v>
      </c>
      <c r="O12" s="232"/>
      <c r="P12" s="305"/>
      <c r="Q12" s="196"/>
      <c r="S12" s="208"/>
    </row>
    <row r="13" spans="1:19" s="2" customFormat="1" ht="30" customHeight="1" x14ac:dyDescent="0.25">
      <c r="A13" s="234">
        <v>2</v>
      </c>
      <c r="B13" s="306" t="s">
        <v>80</v>
      </c>
      <c r="C13" s="268">
        <f t="shared" ref="C13:C19" si="3">F13/$F$20*100</f>
        <v>10.63428401683921</v>
      </c>
      <c r="D13" s="300">
        <v>0.87074358761099324</v>
      </c>
      <c r="E13" s="300">
        <f t="shared" ref="E13:E19" si="4">D13*51/55</f>
        <v>0.80741678123928462</v>
      </c>
      <c r="F13" s="301">
        <f t="shared" si="0"/>
        <v>3918346.1442494695</v>
      </c>
      <c r="G13" s="302">
        <f t="shared" ref="G13:G19" si="5">J13/$J$20*100</f>
        <v>6.5274528241735155</v>
      </c>
      <c r="H13" s="303">
        <v>0.50959999999999994</v>
      </c>
      <c r="I13" s="303">
        <f t="shared" ref="I13:I19" si="6">H13*49/45</f>
        <v>0.55489777777777771</v>
      </c>
      <c r="J13" s="304">
        <f t="shared" si="1"/>
        <v>2293200</v>
      </c>
      <c r="K13" s="259">
        <v>1.4070372023255808</v>
      </c>
      <c r="L13" s="257">
        <v>6331667.4104651138</v>
      </c>
      <c r="M13" s="286"/>
      <c r="N13" s="257">
        <f t="shared" si="2"/>
        <v>0</v>
      </c>
      <c r="O13" s="232"/>
      <c r="P13" s="305"/>
      <c r="Q13" s="196"/>
      <c r="S13" s="208"/>
    </row>
    <row r="14" spans="1:19" s="2" customFormat="1" ht="30" customHeight="1" x14ac:dyDescent="0.25">
      <c r="A14" s="234">
        <v>3</v>
      </c>
      <c r="B14" s="306" t="s">
        <v>81</v>
      </c>
      <c r="C14" s="268">
        <f t="shared" si="3"/>
        <v>15.503469705990675</v>
      </c>
      <c r="D14" s="300">
        <v>1.2694363636363637</v>
      </c>
      <c r="E14" s="300">
        <f t="shared" si="4"/>
        <v>1.1771137190082646</v>
      </c>
      <c r="F14" s="301">
        <f t="shared" si="0"/>
        <v>5712463.6363636367</v>
      </c>
      <c r="G14" s="302">
        <f t="shared" si="5"/>
        <v>14.505450720385591</v>
      </c>
      <c r="H14" s="303">
        <v>1.1324444444444444</v>
      </c>
      <c r="I14" s="303">
        <f t="shared" si="6"/>
        <v>1.2331061728395061</v>
      </c>
      <c r="J14" s="304">
        <f t="shared" si="1"/>
        <v>5096000</v>
      </c>
      <c r="K14" s="259">
        <v>2.4089999999999998</v>
      </c>
      <c r="L14" s="257">
        <v>10840500</v>
      </c>
      <c r="M14" s="286"/>
      <c r="N14" s="257">
        <f t="shared" si="2"/>
        <v>0</v>
      </c>
      <c r="O14" s="232"/>
      <c r="P14" s="305"/>
      <c r="Q14" s="196"/>
      <c r="S14" s="208"/>
    </row>
    <row r="15" spans="1:19" s="2" customFormat="1" ht="30" customHeight="1" x14ac:dyDescent="0.25">
      <c r="A15" s="234">
        <v>4</v>
      </c>
      <c r="B15" s="306" t="s">
        <v>82</v>
      </c>
      <c r="C15" s="268">
        <f>F15/$F$20*100</f>
        <v>18.958283363951594</v>
      </c>
      <c r="D15" s="300">
        <v>1.5523192389006339</v>
      </c>
      <c r="E15" s="300">
        <f t="shared" si="4"/>
        <v>1.4394232942533152</v>
      </c>
      <c r="F15" s="301">
        <f t="shared" si="0"/>
        <v>6985436.5750528527</v>
      </c>
      <c r="G15" s="302">
        <f t="shared" si="5"/>
        <v>15.737181457541055</v>
      </c>
      <c r="H15" s="309">
        <v>1.2286059948320416</v>
      </c>
      <c r="I15" s="303">
        <f t="shared" si="6"/>
        <v>1.3378154165948897</v>
      </c>
      <c r="J15" s="304">
        <f t="shared" si="1"/>
        <v>5528726.9767441871</v>
      </c>
      <c r="K15" s="299">
        <v>2.8023813953488372</v>
      </c>
      <c r="L15" s="257">
        <v>12610716.279069768</v>
      </c>
      <c r="M15" s="286"/>
      <c r="N15" s="257">
        <f t="shared" si="2"/>
        <v>0</v>
      </c>
      <c r="O15" s="232"/>
      <c r="P15" s="305"/>
      <c r="Q15" s="196"/>
      <c r="S15" s="208"/>
    </row>
    <row r="16" spans="1:19" s="2" customFormat="1" ht="30" customHeight="1" x14ac:dyDescent="0.25">
      <c r="A16" s="234">
        <v>5</v>
      </c>
      <c r="B16" s="306" t="s">
        <v>83</v>
      </c>
      <c r="C16" s="268">
        <f t="shared" si="3"/>
        <v>13.812407158516432</v>
      </c>
      <c r="D16" s="300">
        <v>1.1309708245243129</v>
      </c>
      <c r="E16" s="300">
        <f t="shared" si="4"/>
        <v>1.0487184009225448</v>
      </c>
      <c r="F16" s="301">
        <f t="shared" si="0"/>
        <v>5089368.7103594076</v>
      </c>
      <c r="G16" s="302">
        <f t="shared" si="5"/>
        <v>18.711123216819395</v>
      </c>
      <c r="H16" s="303">
        <v>1.4607824289405686</v>
      </c>
      <c r="I16" s="303">
        <f t="shared" si="6"/>
        <v>1.590629755957508</v>
      </c>
      <c r="J16" s="304">
        <f t="shared" si="1"/>
        <v>6573520.9302325593</v>
      </c>
      <c r="K16" s="299">
        <v>2.5612093023255817</v>
      </c>
      <c r="L16" s="257">
        <v>11525441.860465117</v>
      </c>
      <c r="M16" s="286"/>
      <c r="N16" s="257">
        <f t="shared" si="2"/>
        <v>0</v>
      </c>
      <c r="O16" s="232"/>
      <c r="P16" s="305"/>
      <c r="Q16" s="196"/>
      <c r="S16" s="208"/>
    </row>
    <row r="17" spans="1:23" s="2" customFormat="1" ht="30" customHeight="1" x14ac:dyDescent="0.25">
      <c r="A17" s="234">
        <v>6</v>
      </c>
      <c r="B17" s="307" t="s">
        <v>84</v>
      </c>
      <c r="C17" s="268">
        <f t="shared" si="3"/>
        <v>11.947524134273309</v>
      </c>
      <c r="D17" s="293">
        <v>0.97827272727272729</v>
      </c>
      <c r="E17" s="300">
        <f t="shared" si="4"/>
        <v>0.90712561983471085</v>
      </c>
      <c r="F17" s="236">
        <f t="shared" si="0"/>
        <v>4402227.2727272725</v>
      </c>
      <c r="G17" s="261">
        <f t="shared" si="5"/>
        <v>12.552793892641375</v>
      </c>
      <c r="H17" s="294">
        <v>0.98</v>
      </c>
      <c r="I17" s="303">
        <f t="shared" si="6"/>
        <v>1.0671111111111111</v>
      </c>
      <c r="J17" s="237">
        <f t="shared" si="1"/>
        <v>4410000</v>
      </c>
      <c r="K17" s="259">
        <v>1.9550000000000001</v>
      </c>
      <c r="L17" s="257">
        <v>8797500</v>
      </c>
      <c r="M17" s="286"/>
      <c r="N17" s="257">
        <f t="shared" si="2"/>
        <v>0</v>
      </c>
      <c r="O17" s="232"/>
      <c r="P17" s="305"/>
      <c r="Q17" s="196"/>
      <c r="S17" s="208"/>
    </row>
    <row r="18" spans="1:23" s="2" customFormat="1" ht="30" customHeight="1" x14ac:dyDescent="0.25">
      <c r="A18" s="234">
        <v>7</v>
      </c>
      <c r="B18" s="306" t="s">
        <v>268</v>
      </c>
      <c r="C18" s="268">
        <f t="shared" si="3"/>
        <v>9.8751099953424895</v>
      </c>
      <c r="D18" s="293">
        <v>0.80858181818181818</v>
      </c>
      <c r="E18" s="300">
        <f t="shared" si="4"/>
        <v>0.74977586776859495</v>
      </c>
      <c r="F18" s="236">
        <f t="shared" si="0"/>
        <v>3638618.1818181816</v>
      </c>
      <c r="G18" s="261">
        <f t="shared" si="5"/>
        <v>16.039681085041757</v>
      </c>
      <c r="H18" s="294">
        <v>1.2522222222222221</v>
      </c>
      <c r="I18" s="303">
        <f t="shared" si="6"/>
        <v>1.3635308641975308</v>
      </c>
      <c r="J18" s="237">
        <f t="shared" si="1"/>
        <v>5634999.9999999991</v>
      </c>
      <c r="K18" s="259">
        <v>2.0219999999999998</v>
      </c>
      <c r="L18" s="257">
        <v>9099000</v>
      </c>
      <c r="M18" s="286"/>
      <c r="N18" s="257">
        <f t="shared" si="2"/>
        <v>0</v>
      </c>
      <c r="O18" s="232"/>
      <c r="P18" s="305"/>
      <c r="Q18" s="244"/>
      <c r="S18" s="208"/>
    </row>
    <row r="19" spans="1:23" s="2" customFormat="1" ht="30" customHeight="1" x14ac:dyDescent="0.25">
      <c r="A19" s="234">
        <v>8</v>
      </c>
      <c r="B19" s="306" t="s">
        <v>269</v>
      </c>
      <c r="C19" s="268">
        <f t="shared" si="3"/>
        <v>5.8208790568876605</v>
      </c>
      <c r="D19" s="293">
        <v>0.47661818181818189</v>
      </c>
      <c r="E19" s="300">
        <f t="shared" si="4"/>
        <v>0.44195504132231411</v>
      </c>
      <c r="F19" s="236">
        <f t="shared" si="0"/>
        <v>2144781.8181818184</v>
      </c>
      <c r="G19" s="261">
        <f t="shared" si="5"/>
        <v>0</v>
      </c>
      <c r="H19" s="294">
        <v>0</v>
      </c>
      <c r="I19" s="303">
        <f t="shared" si="6"/>
        <v>0</v>
      </c>
      <c r="J19" s="237">
        <f t="shared" si="1"/>
        <v>0</v>
      </c>
      <c r="K19" s="259">
        <v>0.51400000000000001</v>
      </c>
      <c r="L19" s="257">
        <v>2313000</v>
      </c>
      <c r="M19" s="286"/>
      <c r="N19" s="257">
        <f t="shared" si="2"/>
        <v>0</v>
      </c>
      <c r="O19" s="232"/>
      <c r="P19" s="305"/>
      <c r="Q19" s="244"/>
      <c r="S19" s="208"/>
    </row>
    <row r="20" spans="1:23" s="3" customFormat="1" ht="30" customHeight="1" thickBot="1" x14ac:dyDescent="0.3">
      <c r="A20" s="245"/>
      <c r="B20" s="246" t="s">
        <v>112</v>
      </c>
      <c r="C20" s="245">
        <f>F20/$F$20*100</f>
        <v>100</v>
      </c>
      <c r="D20" s="295">
        <v>8.1880791055813944</v>
      </c>
      <c r="E20" s="295">
        <f>SUM(E12:E19)</f>
        <v>7.5925824433572942</v>
      </c>
      <c r="F20" s="247">
        <f>SUM(F12:F19)</f>
        <v>36846355.975116275</v>
      </c>
      <c r="G20" s="247">
        <f>J20/$J$20*100</f>
        <v>100</v>
      </c>
      <c r="H20" s="295">
        <v>7.8070269326614987</v>
      </c>
      <c r="I20" s="295">
        <f>SUM(I12:I19)</f>
        <v>8.5009848822314105</v>
      </c>
      <c r="J20" s="247">
        <f t="shared" ref="J20:N20" si="7">SUM(J12:J19)</f>
        <v>35131621.196976744</v>
      </c>
      <c r="K20" s="310">
        <f t="shared" si="7"/>
        <v>15.999999999999998</v>
      </c>
      <c r="L20" s="256">
        <v>72000000</v>
      </c>
      <c r="M20" s="267">
        <f t="shared" si="7"/>
        <v>0</v>
      </c>
      <c r="N20" s="247">
        <f t="shared" si="7"/>
        <v>0</v>
      </c>
      <c r="O20" s="311"/>
      <c r="P20" s="207"/>
      <c r="Q20" s="200"/>
      <c r="S20" s="208"/>
      <c r="T20" s="276"/>
      <c r="V20" s="3">
        <v>77880000</v>
      </c>
      <c r="W20" s="277">
        <f>V20-L20</f>
        <v>5880000</v>
      </c>
    </row>
    <row r="21" spans="1:23" s="29" customFormat="1" ht="18" customHeight="1" x14ac:dyDescent="0.25">
      <c r="A21" s="262"/>
      <c r="B21" s="263"/>
      <c r="C21" s="263"/>
      <c r="D21" s="263"/>
      <c r="E21" s="263"/>
      <c r="F21" s="263"/>
      <c r="G21" s="264"/>
      <c r="H21" s="264"/>
      <c r="I21" s="264"/>
      <c r="J21" s="253"/>
      <c r="K21" s="264"/>
      <c r="L21" s="253"/>
      <c r="M21" s="253"/>
      <c r="N21" s="253"/>
      <c r="O21" s="232"/>
      <c r="S21" s="265"/>
    </row>
    <row r="22" spans="1:23" s="29" customFormat="1" ht="18" customHeight="1" x14ac:dyDescent="0.25">
      <c r="A22" s="262"/>
      <c r="B22" s="263"/>
      <c r="C22" s="263"/>
      <c r="D22" s="263"/>
      <c r="E22" s="263"/>
      <c r="F22" s="292">
        <f>F20/L20</f>
        <v>0.51175494409883715</v>
      </c>
      <c r="G22" s="264"/>
      <c r="H22" s="264"/>
      <c r="I22" s="264"/>
      <c r="J22" s="292">
        <f>J20/L20</f>
        <v>0.48793918329134367</v>
      </c>
      <c r="K22" s="264"/>
      <c r="L22" s="253"/>
      <c r="M22" s="253"/>
      <c r="N22" s="253"/>
      <c r="O22" s="232"/>
      <c r="S22" s="265"/>
    </row>
    <row r="23" spans="1:23" s="29" customFormat="1" ht="18" customHeight="1" x14ac:dyDescent="0.25">
      <c r="A23" s="262"/>
      <c r="B23" s="263"/>
      <c r="C23" s="263"/>
      <c r="D23" s="263"/>
      <c r="E23" s="263"/>
      <c r="F23" s="291">
        <f>F20/100000</f>
        <v>368.46355975116273</v>
      </c>
      <c r="G23" s="327"/>
      <c r="H23" s="327"/>
      <c r="I23" s="327"/>
      <c r="J23" s="327">
        <f>J20/100000</f>
        <v>351.31621196976744</v>
      </c>
      <c r="K23" s="264"/>
      <c r="L23" s="253"/>
      <c r="M23" s="308">
        <f>16-K20</f>
        <v>0</v>
      </c>
      <c r="N23" s="253"/>
      <c r="O23" s="232"/>
      <c r="S23" s="265"/>
    </row>
    <row r="24" spans="1:23" ht="18" customHeight="1" x14ac:dyDescent="0.25">
      <c r="A24" s="48"/>
      <c r="B24" s="48"/>
      <c r="C24" s="48"/>
      <c r="D24" s="48"/>
      <c r="E24" s="48"/>
      <c r="F24" s="287"/>
      <c r="G24" s="21"/>
      <c r="H24" s="21"/>
      <c r="I24" s="21"/>
      <c r="J24" s="287"/>
      <c r="K24" s="21"/>
      <c r="L24" s="187"/>
      <c r="M24" s="312">
        <f>D13+M23</f>
        <v>0.87074358761099324</v>
      </c>
      <c r="N24" s="279"/>
    </row>
    <row r="25" spans="1:23" ht="18" customHeight="1" x14ac:dyDescent="0.25">
      <c r="A25" s="48"/>
      <c r="B25" s="48"/>
      <c r="C25" s="48"/>
      <c r="D25" s="48"/>
      <c r="E25" s="48"/>
      <c r="F25" s="48"/>
      <c r="G25" s="21"/>
      <c r="H25" s="21"/>
      <c r="I25" s="21"/>
      <c r="J25" s="187"/>
      <c r="K25" s="21"/>
      <c r="L25" s="187"/>
      <c r="N25" s="279"/>
    </row>
    <row r="26" spans="1:23" x14ac:dyDescent="0.25">
      <c r="A26" s="31"/>
      <c r="B26" s="31"/>
      <c r="C26" s="31"/>
      <c r="D26" s="31"/>
      <c r="E26" s="31"/>
      <c r="F26" s="31"/>
    </row>
    <row r="27" spans="1:23" x14ac:dyDescent="0.25">
      <c r="A27" s="31"/>
      <c r="B27" s="31"/>
      <c r="C27" s="31"/>
      <c r="D27" s="31"/>
      <c r="E27" s="31"/>
      <c r="F27" s="31"/>
    </row>
    <row r="28" spans="1:23" ht="15.6" x14ac:dyDescent="0.25">
      <c r="A28" s="31"/>
      <c r="B28" s="1"/>
      <c r="J28" s="1"/>
      <c r="L28" s="1"/>
      <c r="M28" s="1"/>
      <c r="N28" s="1"/>
    </row>
    <row r="29" spans="1:23" ht="26.25" customHeight="1" x14ac:dyDescent="0.25">
      <c r="A29" s="31"/>
      <c r="B29" s="1"/>
      <c r="J29" s="1"/>
      <c r="L29" s="1"/>
      <c r="M29" s="1"/>
      <c r="N29" s="1"/>
    </row>
    <row r="30" spans="1:23" ht="15.6" x14ac:dyDescent="0.25">
      <c r="B30" s="2"/>
      <c r="J30" s="3"/>
      <c r="L30" s="3"/>
      <c r="M30" s="3"/>
      <c r="N30" s="3"/>
    </row>
    <row r="31" spans="1:23" ht="15.6" x14ac:dyDescent="0.25">
      <c r="B31" s="1"/>
      <c r="J31" s="1"/>
      <c r="L31" s="1"/>
      <c r="M31" s="1"/>
      <c r="N31" s="1"/>
    </row>
    <row r="32" spans="1:23" s="24" customFormat="1" ht="15.6" x14ac:dyDescent="0.25">
      <c r="B32" s="4"/>
      <c r="G32" s="32"/>
      <c r="H32" s="32"/>
      <c r="I32" s="32"/>
      <c r="J32" s="4"/>
      <c r="K32" s="32"/>
      <c r="L32" s="4"/>
      <c r="M32" s="4"/>
      <c r="N32" s="4"/>
      <c r="O32" s="232"/>
    </row>
    <row r="33" spans="1:15" s="24" customFormat="1" ht="24" customHeight="1" x14ac:dyDescent="0.25">
      <c r="A33" s="18"/>
      <c r="B33" s="1"/>
      <c r="G33" s="32"/>
      <c r="H33" s="32"/>
      <c r="I33" s="32"/>
      <c r="J33" s="1"/>
      <c r="K33" s="32"/>
      <c r="L33" s="1"/>
      <c r="M33" s="1"/>
      <c r="N33" s="1"/>
      <c r="O33" s="232"/>
    </row>
    <row r="34" spans="1:15" s="24" customFormat="1" x14ac:dyDescent="0.25">
      <c r="A34" s="18"/>
      <c r="B34" s="18"/>
      <c r="C34" s="18"/>
      <c r="D34" s="18"/>
      <c r="E34" s="18"/>
      <c r="F34" s="18"/>
      <c r="G34" s="32"/>
      <c r="H34" s="32"/>
      <c r="I34" s="32"/>
      <c r="K34" s="32"/>
      <c r="O34" s="232"/>
    </row>
    <row r="36" spans="1:15" ht="11.25" customHeight="1" x14ac:dyDescent="0.25"/>
  </sheetData>
  <mergeCells count="6">
    <mergeCell ref="A8:L8"/>
    <mergeCell ref="A10:A11"/>
    <mergeCell ref="B10:B11"/>
    <mergeCell ref="C10:F10"/>
    <mergeCell ref="G10:J10"/>
    <mergeCell ref="K10:L10"/>
  </mergeCells>
  <pageMargins left="0.7" right="0.7" top="0.75" bottom="0.75" header="0.3" footer="0.3"/>
  <pageSetup paperSize="9" scale="5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Y36"/>
  <sheetViews>
    <sheetView view="pageBreakPreview" topLeftCell="A7" zoomScale="70" zoomScaleNormal="85" zoomScaleSheetLayoutView="70" workbookViewId="0">
      <selection activeCell="Q20" sqref="Q20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7" width="16.5546875" style="18" hidden="1" customWidth="1"/>
    <col min="8" max="8" width="16.109375" style="30" hidden="1" customWidth="1"/>
    <col min="9" max="9" width="16.109375" style="30" customWidth="1"/>
    <col min="10" max="10" width="18.5546875" style="17" customWidth="1"/>
    <col min="11" max="12" width="18.5546875" style="17" hidden="1" customWidth="1"/>
    <col min="13" max="13" width="16.109375" style="30" customWidth="1"/>
    <col min="14" max="14" width="18.5546875" style="17" customWidth="1"/>
    <col min="15" max="16" width="18.5546875" style="17" hidden="1" customWidth="1"/>
    <col min="17" max="17" width="22" style="232" customWidth="1"/>
    <col min="18" max="18" width="14.88671875" style="17" customWidth="1"/>
    <col min="19" max="19" width="20.6640625" style="17" customWidth="1"/>
    <col min="20" max="20" width="7" style="17" customWidth="1"/>
    <col min="21" max="21" width="15" style="17" customWidth="1"/>
    <col min="22" max="22" width="11.44140625" style="17" customWidth="1"/>
    <col min="23" max="23" width="7" style="17"/>
    <col min="24" max="24" width="18.109375" style="17" customWidth="1"/>
    <col min="25" max="16384" width="7" style="17"/>
  </cols>
  <sheetData>
    <row r="3" spans="1:21" ht="9.75" customHeight="1" x14ac:dyDescent="0.25">
      <c r="A3" s="15"/>
      <c r="B3" s="15"/>
      <c r="C3" s="15"/>
      <c r="D3" s="15"/>
      <c r="E3" s="15"/>
      <c r="F3" s="15"/>
      <c r="G3" s="15"/>
      <c r="H3" s="16"/>
      <c r="I3" s="16"/>
      <c r="J3" s="15"/>
      <c r="K3" s="15"/>
      <c r="L3" s="15"/>
      <c r="M3" s="16"/>
      <c r="N3" s="15"/>
      <c r="O3" s="15"/>
      <c r="P3" s="15"/>
    </row>
    <row r="4" spans="1:21" ht="9.75" customHeight="1" x14ac:dyDescent="0.25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  <c r="M4" s="16"/>
      <c r="N4" s="15"/>
      <c r="O4" s="15"/>
      <c r="P4" s="15"/>
    </row>
    <row r="5" spans="1:21" ht="9.75" customHeight="1" x14ac:dyDescent="0.25">
      <c r="A5" s="15"/>
      <c r="B5" s="15"/>
      <c r="C5" s="15"/>
      <c r="D5" s="15"/>
      <c r="E5" s="15"/>
      <c r="F5" s="15"/>
      <c r="G5" s="15"/>
      <c r="H5" s="16"/>
      <c r="I5" s="16"/>
      <c r="J5" s="15"/>
      <c r="K5" s="15"/>
      <c r="L5" s="15"/>
      <c r="M5" s="16"/>
      <c r="N5" s="15"/>
      <c r="O5" s="15"/>
      <c r="P5" s="15"/>
    </row>
    <row r="6" spans="1:21" ht="9.75" customHeight="1" x14ac:dyDescent="0.25">
      <c r="A6" s="15"/>
      <c r="B6" s="15"/>
      <c r="C6" s="15"/>
      <c r="D6" s="15"/>
      <c r="E6" s="15"/>
      <c r="F6" s="15"/>
      <c r="G6" s="15"/>
      <c r="H6" s="16"/>
      <c r="I6" s="16"/>
      <c r="J6" s="15"/>
      <c r="K6" s="15"/>
      <c r="L6" s="15"/>
      <c r="M6" s="16"/>
      <c r="N6" s="15"/>
      <c r="O6" s="15"/>
      <c r="P6" s="15"/>
    </row>
    <row r="7" spans="1:21" ht="12.75" customHeight="1" x14ac:dyDescent="0.25">
      <c r="A7" s="15"/>
      <c r="B7" s="15"/>
      <c r="C7" s="15"/>
      <c r="D7" s="15"/>
      <c r="E7" s="15"/>
      <c r="F7" s="15"/>
      <c r="G7" s="15"/>
      <c r="H7" s="16"/>
      <c r="I7" s="16"/>
      <c r="J7" s="15"/>
      <c r="K7" s="15"/>
      <c r="L7" s="15"/>
      <c r="M7" s="16"/>
      <c r="N7" s="15"/>
      <c r="O7" s="15"/>
      <c r="P7" s="15"/>
    </row>
    <row r="8" spans="1:21" ht="23.25" customHeight="1" x14ac:dyDescent="0.25">
      <c r="A8" s="407" t="s">
        <v>326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331"/>
      <c r="P8" s="331"/>
    </row>
    <row r="9" spans="1:21" s="20" customFormat="1" ht="21.75" customHeight="1" x14ac:dyDescent="0.25">
      <c r="H9" s="21"/>
      <c r="I9" s="21"/>
      <c r="M9" s="21"/>
      <c r="Q9" s="397" t="s">
        <v>331</v>
      </c>
      <c r="R9" s="396" t="s">
        <v>260</v>
      </c>
      <c r="S9" s="395">
        <v>450000000</v>
      </c>
    </row>
    <row r="10" spans="1:21" s="3" customFormat="1" ht="30" customHeight="1" x14ac:dyDescent="0.25">
      <c r="A10" s="408" t="s">
        <v>76</v>
      </c>
      <c r="B10" s="408" t="s">
        <v>115</v>
      </c>
      <c r="C10" s="410" t="s">
        <v>327</v>
      </c>
      <c r="D10" s="425"/>
      <c r="E10" s="411"/>
      <c r="F10" s="410" t="s">
        <v>303</v>
      </c>
      <c r="G10" s="411"/>
      <c r="H10" s="412" t="s">
        <v>328</v>
      </c>
      <c r="I10" s="426"/>
      <c r="J10" s="413"/>
      <c r="K10" s="412" t="s">
        <v>305</v>
      </c>
      <c r="L10" s="413"/>
      <c r="M10" s="414" t="s">
        <v>329</v>
      </c>
      <c r="N10" s="414"/>
      <c r="O10" s="414" t="s">
        <v>308</v>
      </c>
      <c r="P10" s="412"/>
      <c r="Q10" s="397" t="s">
        <v>330</v>
      </c>
      <c r="R10" s="396" t="s">
        <v>260</v>
      </c>
      <c r="S10" s="395">
        <v>450000000</v>
      </c>
      <c r="U10" s="208"/>
    </row>
    <row r="11" spans="1:21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30" t="s">
        <v>290</v>
      </c>
      <c r="G11" s="230" t="s">
        <v>78</v>
      </c>
      <c r="H11" s="296" t="s">
        <v>77</v>
      </c>
      <c r="I11" s="230" t="s">
        <v>290</v>
      </c>
      <c r="J11" s="230" t="s">
        <v>78</v>
      </c>
      <c r="K11" s="230" t="s">
        <v>290</v>
      </c>
      <c r="L11" s="230" t="s">
        <v>78</v>
      </c>
      <c r="M11" s="230" t="s">
        <v>77</v>
      </c>
      <c r="N11" s="230" t="s">
        <v>78</v>
      </c>
      <c r="O11" s="230" t="s">
        <v>77</v>
      </c>
      <c r="P11" s="230" t="s">
        <v>78</v>
      </c>
      <c r="Q11" s="232"/>
      <c r="S11" s="394"/>
      <c r="U11" s="208"/>
    </row>
    <row r="12" spans="1:21" s="2" customFormat="1" ht="30" customHeight="1" x14ac:dyDescent="0.25">
      <c r="A12" s="234">
        <v>1</v>
      </c>
      <c r="B12" s="306" t="s">
        <v>79</v>
      </c>
      <c r="C12" s="268">
        <f>E12/$E$20*100</f>
        <v>13.448042568198627</v>
      </c>
      <c r="D12" s="300">
        <v>1.1874999999999998</v>
      </c>
      <c r="E12" s="301">
        <f>(D12/100)*$S$10</f>
        <v>5343749.9999999991</v>
      </c>
      <c r="F12" s="333">
        <f>D12/55*53</f>
        <v>1.1443181818181816</v>
      </c>
      <c r="G12" s="301">
        <f t="shared" ref="G12:G19" si="0">(F12/100)*$S$9</f>
        <v>5149431.8181818174</v>
      </c>
      <c r="H12" s="302">
        <f>J12/$J$20*100</f>
        <v>15.926316803397317</v>
      </c>
      <c r="I12" s="303">
        <v>1.1418721000000003</v>
      </c>
      <c r="J12" s="301">
        <f>(I12/100)*$S$10</f>
        <v>5138424.4500000011</v>
      </c>
      <c r="K12" s="333">
        <f>M12-F12</f>
        <v>1.1850539181818185</v>
      </c>
      <c r="L12" s="301">
        <f t="shared" ref="L12:L19" si="1">(K12/100)*$S$9</f>
        <v>5332742.6318181837</v>
      </c>
      <c r="M12" s="259">
        <f t="shared" ref="M12:M19" si="2">N12/$S$10*100</f>
        <v>2.3293721000000001</v>
      </c>
      <c r="N12" s="257">
        <f>E12+J12</f>
        <v>10482174.449999999</v>
      </c>
      <c r="O12" s="286">
        <f>F12+K12</f>
        <v>2.3293721000000001</v>
      </c>
      <c r="P12" s="257">
        <f>G12+L12</f>
        <v>10482174.450000001</v>
      </c>
      <c r="Q12" s="332"/>
      <c r="R12" s="305"/>
      <c r="S12" s="196"/>
      <c r="U12" s="208"/>
    </row>
    <row r="13" spans="1:21" s="2" customFormat="1" ht="30" customHeight="1" x14ac:dyDescent="0.25">
      <c r="A13" s="234">
        <v>2</v>
      </c>
      <c r="B13" s="306" t="s">
        <v>80</v>
      </c>
      <c r="C13" s="268">
        <f t="shared" ref="C13:C19" si="3">E13/$E$20*100</f>
        <v>10.63428401683921</v>
      </c>
      <c r="D13" s="300">
        <v>0.93903720232558097</v>
      </c>
      <c r="E13" s="301">
        <f t="shared" ref="E13:E19" si="4">(D13/100)*$S$10</f>
        <v>4225667.4104651147</v>
      </c>
      <c r="F13" s="333">
        <f t="shared" ref="F13:F18" si="5">D13/55*53</f>
        <v>0.90489039496828716</v>
      </c>
      <c r="G13" s="301">
        <f t="shared" si="0"/>
        <v>4072006.7773572919</v>
      </c>
      <c r="H13" s="302">
        <f t="shared" ref="H13:H19" si="6">J13/$J$20*100</f>
        <v>6.5274528241735146</v>
      </c>
      <c r="I13" s="303">
        <v>0.46799999999999992</v>
      </c>
      <c r="J13" s="301">
        <f t="shared" ref="J13:J19" si="7">(I13/100)*$S$10</f>
        <v>2105999.9999999995</v>
      </c>
      <c r="K13" s="333">
        <f t="shared" ref="K13:K18" si="8">M13-F13</f>
        <v>0.50214680735729367</v>
      </c>
      <c r="L13" s="301">
        <f t="shared" si="1"/>
        <v>2259660.6331078219</v>
      </c>
      <c r="M13" s="259">
        <f t="shared" si="2"/>
        <v>1.4070372023255808</v>
      </c>
      <c r="N13" s="257">
        <f t="shared" ref="N13:N19" si="9">E13+J13</f>
        <v>6331667.4104651138</v>
      </c>
      <c r="O13" s="286">
        <f t="shared" ref="O13:P19" si="10">F13+K13</f>
        <v>1.4070372023255808</v>
      </c>
      <c r="P13" s="257">
        <f t="shared" si="10"/>
        <v>6331667.4104651138</v>
      </c>
      <c r="Q13" s="232"/>
      <c r="R13" s="305"/>
      <c r="S13" s="196"/>
      <c r="U13" s="208"/>
    </row>
    <row r="14" spans="1:21" s="2" customFormat="1" ht="30" customHeight="1" x14ac:dyDescent="0.25">
      <c r="A14" s="234">
        <v>3</v>
      </c>
      <c r="B14" s="306" t="s">
        <v>81</v>
      </c>
      <c r="C14" s="268">
        <f t="shared" si="3"/>
        <v>15.503469705990671</v>
      </c>
      <c r="D14" s="300">
        <v>1.369</v>
      </c>
      <c r="E14" s="301">
        <f t="shared" si="4"/>
        <v>6160500</v>
      </c>
      <c r="F14" s="333">
        <f t="shared" si="5"/>
        <v>1.3192181818181818</v>
      </c>
      <c r="G14" s="301">
        <f t="shared" si="0"/>
        <v>5936481.8181818184</v>
      </c>
      <c r="H14" s="302">
        <f t="shared" si="6"/>
        <v>14.505450720385591</v>
      </c>
      <c r="I14" s="303">
        <v>1.04</v>
      </c>
      <c r="J14" s="301">
        <f t="shared" si="7"/>
        <v>4680000</v>
      </c>
      <c r="K14" s="333">
        <f t="shared" si="8"/>
        <v>1.089781818181818</v>
      </c>
      <c r="L14" s="301">
        <f t="shared" si="1"/>
        <v>4904018.1818181807</v>
      </c>
      <c r="M14" s="259">
        <f t="shared" si="2"/>
        <v>2.4089999999999998</v>
      </c>
      <c r="N14" s="257">
        <f t="shared" si="9"/>
        <v>10840500</v>
      </c>
      <c r="O14" s="286">
        <f t="shared" si="10"/>
        <v>2.4089999999999998</v>
      </c>
      <c r="P14" s="257">
        <f t="shared" si="10"/>
        <v>10840500</v>
      </c>
      <c r="Q14" s="232"/>
      <c r="R14" s="305"/>
      <c r="S14" s="196"/>
      <c r="U14" s="208"/>
    </row>
    <row r="15" spans="1:21" s="2" customFormat="1" ht="30" customHeight="1" x14ac:dyDescent="0.25">
      <c r="A15" s="234">
        <v>4</v>
      </c>
      <c r="B15" s="306" t="s">
        <v>82</v>
      </c>
      <c r="C15" s="268">
        <f>E15/$E$20*100</f>
        <v>18.95828336395159</v>
      </c>
      <c r="D15" s="300">
        <v>1.6740697674418603</v>
      </c>
      <c r="E15" s="301">
        <f t="shared" si="4"/>
        <v>7533313.9534883713</v>
      </c>
      <c r="F15" s="333">
        <f t="shared" si="5"/>
        <v>1.6131945031712471</v>
      </c>
      <c r="G15" s="301">
        <f t="shared" si="0"/>
        <v>7259375.264270612</v>
      </c>
      <c r="H15" s="302">
        <f t="shared" si="6"/>
        <v>15.737181457541055</v>
      </c>
      <c r="I15" s="309">
        <v>1.1283116279069769</v>
      </c>
      <c r="J15" s="301">
        <f t="shared" si="7"/>
        <v>5077402.3255813969</v>
      </c>
      <c r="K15" s="333">
        <f t="shared" si="8"/>
        <v>1.1891868921775901</v>
      </c>
      <c r="L15" s="301">
        <f t="shared" si="1"/>
        <v>5351341.0147991553</v>
      </c>
      <c r="M15" s="259">
        <f t="shared" si="2"/>
        <v>2.8023813953488372</v>
      </c>
      <c r="N15" s="257">
        <f t="shared" si="9"/>
        <v>12610716.279069768</v>
      </c>
      <c r="O15" s="286">
        <f t="shared" si="10"/>
        <v>2.8023813953488372</v>
      </c>
      <c r="P15" s="257">
        <f t="shared" si="10"/>
        <v>12610716.279069766</v>
      </c>
      <c r="Q15" s="232"/>
      <c r="R15" s="305"/>
      <c r="S15" s="196"/>
      <c r="U15" s="208"/>
    </row>
    <row r="16" spans="1:21" s="2" customFormat="1" ht="30" customHeight="1" x14ac:dyDescent="0.25">
      <c r="A16" s="234">
        <v>5</v>
      </c>
      <c r="B16" s="306" t="s">
        <v>83</v>
      </c>
      <c r="C16" s="268">
        <f t="shared" si="3"/>
        <v>13.812407158516429</v>
      </c>
      <c r="D16" s="300">
        <v>1.2196744186046511</v>
      </c>
      <c r="E16" s="301">
        <f t="shared" si="4"/>
        <v>5488534.8837209297</v>
      </c>
      <c r="F16" s="333">
        <f t="shared" si="5"/>
        <v>1.1753226215644819</v>
      </c>
      <c r="G16" s="301">
        <f t="shared" si="0"/>
        <v>5288951.7970401682</v>
      </c>
      <c r="H16" s="302">
        <f t="shared" si="6"/>
        <v>18.711123216819395</v>
      </c>
      <c r="I16" s="303">
        <v>1.3415348837209304</v>
      </c>
      <c r="J16" s="301">
        <f t="shared" si="7"/>
        <v>6036906.9767441871</v>
      </c>
      <c r="K16" s="333">
        <f t="shared" si="8"/>
        <v>1.3858866807610999</v>
      </c>
      <c r="L16" s="301">
        <f t="shared" si="1"/>
        <v>6236490.0634249495</v>
      </c>
      <c r="M16" s="259">
        <f t="shared" si="2"/>
        <v>2.5612093023255817</v>
      </c>
      <c r="N16" s="257">
        <f t="shared" si="9"/>
        <v>11525441.860465117</v>
      </c>
      <c r="O16" s="286">
        <f t="shared" si="10"/>
        <v>2.5612093023255817</v>
      </c>
      <c r="P16" s="257">
        <f t="shared" si="10"/>
        <v>11525441.860465117</v>
      </c>
      <c r="Q16" s="232"/>
      <c r="R16" s="305"/>
      <c r="S16" s="196"/>
      <c r="U16" s="208"/>
    </row>
    <row r="17" spans="1:25" s="2" customFormat="1" ht="30" customHeight="1" x14ac:dyDescent="0.25">
      <c r="A17" s="234">
        <v>6</v>
      </c>
      <c r="B17" s="307" t="s">
        <v>84</v>
      </c>
      <c r="C17" s="268">
        <f t="shared" si="3"/>
        <v>11.947524134273307</v>
      </c>
      <c r="D17" s="293">
        <v>1.0549999999999999</v>
      </c>
      <c r="E17" s="301">
        <f t="shared" si="4"/>
        <v>4747499.9999999991</v>
      </c>
      <c r="F17" s="333">
        <f t="shared" si="5"/>
        <v>1.0166363636363636</v>
      </c>
      <c r="G17" s="301">
        <f t="shared" si="0"/>
        <v>4574863.6363636358</v>
      </c>
      <c r="H17" s="261">
        <f t="shared" si="6"/>
        <v>12.552793892641379</v>
      </c>
      <c r="I17" s="294">
        <v>0.9</v>
      </c>
      <c r="J17" s="301">
        <f t="shared" si="7"/>
        <v>4050000.0000000005</v>
      </c>
      <c r="K17" s="333">
        <f t="shared" si="8"/>
        <v>0.93836363636363651</v>
      </c>
      <c r="L17" s="301">
        <f t="shared" si="1"/>
        <v>4222636.3636363642</v>
      </c>
      <c r="M17" s="259">
        <f t="shared" si="2"/>
        <v>1.9550000000000001</v>
      </c>
      <c r="N17" s="257">
        <f t="shared" si="9"/>
        <v>8797500</v>
      </c>
      <c r="O17" s="286">
        <f t="shared" si="10"/>
        <v>1.9550000000000001</v>
      </c>
      <c r="P17" s="257">
        <f>G17+L17</f>
        <v>8797500</v>
      </c>
      <c r="Q17" s="232"/>
      <c r="R17" s="305"/>
      <c r="S17" s="196"/>
      <c r="U17" s="208"/>
    </row>
    <row r="18" spans="1:25" s="2" customFormat="1" ht="30" customHeight="1" x14ac:dyDescent="0.25">
      <c r="A18" s="234">
        <v>7</v>
      </c>
      <c r="B18" s="306" t="s">
        <v>268</v>
      </c>
      <c r="C18" s="268">
        <f t="shared" si="3"/>
        <v>9.8751099953424877</v>
      </c>
      <c r="D18" s="293">
        <v>0.872</v>
      </c>
      <c r="E18" s="301">
        <f t="shared" si="4"/>
        <v>3924000</v>
      </c>
      <c r="F18" s="333">
        <f t="shared" si="5"/>
        <v>0.84029090909090909</v>
      </c>
      <c r="G18" s="301">
        <f t="shared" si="0"/>
        <v>3781309.0909090908</v>
      </c>
      <c r="H18" s="261">
        <f t="shared" si="6"/>
        <v>16.039681085041757</v>
      </c>
      <c r="I18" s="294">
        <v>1.1499999999999999</v>
      </c>
      <c r="J18" s="301">
        <f t="shared" si="7"/>
        <v>5175000</v>
      </c>
      <c r="K18" s="333">
        <f t="shared" si="8"/>
        <v>1.1817090909090906</v>
      </c>
      <c r="L18" s="301">
        <f t="shared" si="1"/>
        <v>5317690.9090909073</v>
      </c>
      <c r="M18" s="259">
        <f t="shared" si="2"/>
        <v>2.0219999999999998</v>
      </c>
      <c r="N18" s="257">
        <f t="shared" si="9"/>
        <v>9099000</v>
      </c>
      <c r="O18" s="286">
        <f t="shared" si="10"/>
        <v>2.0219999999999998</v>
      </c>
      <c r="P18" s="257">
        <f t="shared" si="10"/>
        <v>9098999.9999999981</v>
      </c>
      <c r="Q18" s="232"/>
      <c r="R18" s="305"/>
      <c r="S18" s="244"/>
      <c r="U18" s="208"/>
    </row>
    <row r="19" spans="1:25" s="2" customFormat="1" ht="30" customHeight="1" x14ac:dyDescent="0.25">
      <c r="A19" s="234">
        <v>8</v>
      </c>
      <c r="B19" s="306" t="s">
        <v>269</v>
      </c>
      <c r="C19" s="268">
        <f t="shared" si="3"/>
        <v>5.8208790568876587</v>
      </c>
      <c r="D19" s="293">
        <v>0.51400000000000001</v>
      </c>
      <c r="E19" s="301">
        <f t="shared" si="4"/>
        <v>2313000</v>
      </c>
      <c r="F19" s="398">
        <v>0.51400000000000001</v>
      </c>
      <c r="G19" s="301">
        <f t="shared" si="0"/>
        <v>2313000</v>
      </c>
      <c r="H19" s="261">
        <f t="shared" si="6"/>
        <v>0</v>
      </c>
      <c r="I19" s="294">
        <v>0</v>
      </c>
      <c r="J19" s="301">
        <f t="shared" si="7"/>
        <v>0</v>
      </c>
      <c r="K19" s="333">
        <f>I19/55*49</f>
        <v>0</v>
      </c>
      <c r="L19" s="301">
        <f t="shared" si="1"/>
        <v>0</v>
      </c>
      <c r="M19" s="259">
        <f t="shared" si="2"/>
        <v>0.51400000000000001</v>
      </c>
      <c r="N19" s="257">
        <f t="shared" si="9"/>
        <v>2313000</v>
      </c>
      <c r="O19" s="286">
        <f>F19+K19</f>
        <v>0.51400000000000001</v>
      </c>
      <c r="P19" s="257">
        <f t="shared" si="10"/>
        <v>2313000</v>
      </c>
      <c r="Q19" s="232"/>
      <c r="R19" s="305"/>
      <c r="S19" s="244"/>
      <c r="U19" s="208"/>
    </row>
    <row r="20" spans="1:25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39736266.24767442</v>
      </c>
      <c r="F20" s="295">
        <f>SUM(F12:F19)</f>
        <v>8.5278711560676523</v>
      </c>
      <c r="G20" s="247">
        <f>SUM(G12:G19)</f>
        <v>38375420.202304438</v>
      </c>
      <c r="H20" s="247">
        <f>J20/$J$20*100</f>
        <v>100</v>
      </c>
      <c r="I20" s="295">
        <f>SUM(I12:I19)</f>
        <v>7.1697186116279088</v>
      </c>
      <c r="J20" s="247">
        <f t="shared" ref="J20" si="11">SUM(J12:J19)</f>
        <v>32263733.752325583</v>
      </c>
      <c r="K20" s="295">
        <f>SUM(K12:K19)</f>
        <v>7.4721288439323468</v>
      </c>
      <c r="L20" s="247">
        <f t="shared" ref="L20:P20" si="12">SUM(L12:L19)</f>
        <v>33624579.797695562</v>
      </c>
      <c r="M20" s="310">
        <f t="shared" si="12"/>
        <v>15.999999999999998</v>
      </c>
      <c r="N20" s="256">
        <f t="shared" si="12"/>
        <v>72000000</v>
      </c>
      <c r="O20" s="310">
        <f>SUM(O12:O19)</f>
        <v>15.999999999999998</v>
      </c>
      <c r="P20" s="256">
        <f t="shared" si="12"/>
        <v>72000000</v>
      </c>
      <c r="Q20" s="311"/>
      <c r="R20" s="207"/>
      <c r="S20" s="200"/>
      <c r="U20" s="208"/>
      <c r="V20" s="276"/>
      <c r="Y20" s="277"/>
    </row>
    <row r="21" spans="1:25" s="29" customFormat="1" ht="18" customHeight="1" x14ac:dyDescent="0.25">
      <c r="A21" s="262"/>
      <c r="B21" s="263"/>
      <c r="C21" s="263"/>
      <c r="D21" s="263"/>
      <c r="E21" s="263"/>
      <c r="F21" s="263"/>
      <c r="G21" s="263"/>
      <c r="H21" s="264"/>
      <c r="I21" s="264"/>
      <c r="J21" s="253"/>
      <c r="K21" s="253"/>
      <c r="L21" s="253"/>
      <c r="M21" s="264"/>
      <c r="N21" s="253"/>
      <c r="O21" s="253"/>
      <c r="P21" s="253"/>
      <c r="Q21" s="232"/>
      <c r="U21" s="265"/>
    </row>
    <row r="22" spans="1:25" s="29" customFormat="1" ht="18" customHeight="1" x14ac:dyDescent="0.25">
      <c r="A22" s="262"/>
      <c r="B22" s="263"/>
      <c r="C22" s="263"/>
      <c r="D22" s="263"/>
      <c r="E22" s="292">
        <f>E20/N20</f>
        <v>0.55189258677325581</v>
      </c>
      <c r="F22" s="292"/>
      <c r="G22" s="292">
        <f>G20/P20</f>
        <v>0.53299194725422827</v>
      </c>
      <c r="H22" s="334"/>
      <c r="I22" s="334"/>
      <c r="J22" s="292">
        <f>J20/N20</f>
        <v>0.44810741322674419</v>
      </c>
      <c r="K22" s="292"/>
      <c r="L22" s="292">
        <f>L20/P20</f>
        <v>0.46700805274577167</v>
      </c>
      <c r="M22" s="264"/>
      <c r="N22" s="253"/>
      <c r="O22" s="253"/>
      <c r="P22" s="253"/>
      <c r="Q22" s="232"/>
      <c r="U22" s="265"/>
    </row>
    <row r="23" spans="1:25" s="29" customFormat="1" ht="18" customHeight="1" x14ac:dyDescent="0.25">
      <c r="A23" s="262"/>
      <c r="B23" s="263"/>
      <c r="C23" s="263"/>
      <c r="D23" s="263"/>
      <c r="E23" s="291">
        <f>E20/100000</f>
        <v>397.36266247674422</v>
      </c>
      <c r="F23" s="291"/>
      <c r="G23" s="393">
        <f>G20/100000</f>
        <v>383.7542020230444</v>
      </c>
      <c r="H23" s="327"/>
      <c r="I23" s="327"/>
      <c r="J23" s="327">
        <f>J20/100000</f>
        <v>322.63733752325584</v>
      </c>
      <c r="K23" s="327"/>
      <c r="L23" s="327">
        <f>L20/100000</f>
        <v>336.2457979769556</v>
      </c>
      <c r="M23" s="264"/>
      <c r="N23" s="253"/>
      <c r="O23" s="253"/>
      <c r="P23" s="253"/>
      <c r="Q23" s="232"/>
      <c r="U23" s="265"/>
    </row>
    <row r="24" spans="1:25" ht="18" customHeight="1" x14ac:dyDescent="0.25">
      <c r="A24" s="48"/>
      <c r="B24" s="48"/>
      <c r="C24" s="48"/>
      <c r="D24" s="48"/>
      <c r="E24" s="287"/>
      <c r="F24" s="287"/>
      <c r="G24" s="287"/>
      <c r="H24" s="21"/>
      <c r="I24" s="21"/>
      <c r="J24" s="287"/>
      <c r="K24" s="287"/>
      <c r="L24" s="287"/>
      <c r="M24" s="21"/>
      <c r="N24" s="187"/>
      <c r="O24" s="187"/>
      <c r="P24" s="187"/>
    </row>
    <row r="25" spans="1:25" ht="18" customHeight="1" x14ac:dyDescent="0.25">
      <c r="A25" s="48"/>
      <c r="B25" s="48"/>
      <c r="C25" s="48"/>
      <c r="D25" s="48"/>
      <c r="E25" s="48"/>
      <c r="F25" s="48"/>
      <c r="G25" s="48"/>
      <c r="H25" s="21"/>
      <c r="I25" s="21"/>
      <c r="J25" s="187"/>
      <c r="K25" s="187"/>
      <c r="L25" s="187"/>
      <c r="M25" s="21"/>
      <c r="N25" s="187"/>
      <c r="O25" s="187"/>
      <c r="P25" s="187"/>
    </row>
    <row r="26" spans="1:25" x14ac:dyDescent="0.25">
      <c r="A26" s="31"/>
      <c r="B26" s="31"/>
      <c r="C26" s="31"/>
      <c r="D26" s="31"/>
      <c r="E26" s="31"/>
      <c r="F26" s="31"/>
      <c r="G26" s="31"/>
    </row>
    <row r="27" spans="1:25" x14ac:dyDescent="0.25">
      <c r="A27" s="31"/>
      <c r="B27" s="31"/>
      <c r="C27" s="31"/>
      <c r="D27" s="31"/>
      <c r="E27" s="31"/>
      <c r="F27" s="31"/>
      <c r="G27" s="31"/>
    </row>
    <row r="28" spans="1:25" ht="15.6" x14ac:dyDescent="0.25">
      <c r="A28" s="31"/>
      <c r="B28" s="1"/>
      <c r="J28" s="1"/>
      <c r="K28" s="1"/>
      <c r="L28" s="1"/>
      <c r="N28" s="1"/>
      <c r="O28" s="1"/>
      <c r="P28" s="1"/>
    </row>
    <row r="29" spans="1:25" ht="26.25" customHeight="1" x14ac:dyDescent="0.25">
      <c r="A29" s="31"/>
      <c r="B29" s="1"/>
      <c r="J29" s="1"/>
      <c r="K29" s="1"/>
      <c r="L29" s="1"/>
      <c r="N29" s="1"/>
      <c r="O29" s="1"/>
      <c r="P29" s="1"/>
    </row>
    <row r="30" spans="1:25" ht="15.6" x14ac:dyDescent="0.25">
      <c r="B30" s="2"/>
      <c r="J30" s="3"/>
      <c r="K30" s="3"/>
      <c r="L30" s="3"/>
      <c r="N30" s="3"/>
      <c r="O30" s="3"/>
      <c r="P30" s="3"/>
    </row>
    <row r="31" spans="1:25" ht="15.6" x14ac:dyDescent="0.25">
      <c r="B31" s="1"/>
      <c r="J31" s="1"/>
      <c r="K31" s="1"/>
      <c r="L31" s="1"/>
      <c r="N31" s="1"/>
      <c r="O31" s="1"/>
      <c r="P31" s="1"/>
    </row>
    <row r="32" spans="1:25" s="24" customFormat="1" ht="15.6" x14ac:dyDescent="0.25">
      <c r="B32" s="4"/>
      <c r="H32" s="32"/>
      <c r="I32" s="32"/>
      <c r="J32" s="4"/>
      <c r="K32" s="4"/>
      <c r="L32" s="4"/>
      <c r="M32" s="32"/>
      <c r="N32" s="4"/>
      <c r="O32" s="4"/>
      <c r="P32" s="4"/>
      <c r="Q32" s="232"/>
    </row>
    <row r="33" spans="1:17" s="24" customFormat="1" ht="24" customHeight="1" x14ac:dyDescent="0.25">
      <c r="A33" s="18"/>
      <c r="B33" s="1"/>
      <c r="H33" s="32"/>
      <c r="I33" s="32"/>
      <c r="J33" s="1"/>
      <c r="K33" s="1"/>
      <c r="L33" s="1"/>
      <c r="M33" s="32"/>
      <c r="N33" s="1"/>
      <c r="O33" s="1"/>
      <c r="P33" s="1"/>
      <c r="Q33" s="232"/>
    </row>
    <row r="34" spans="1:17" s="24" customFormat="1" x14ac:dyDescent="0.25">
      <c r="A34" s="18"/>
      <c r="B34" s="18"/>
      <c r="C34" s="18"/>
      <c r="D34" s="18"/>
      <c r="E34" s="18"/>
      <c r="F34" s="18"/>
      <c r="G34" s="18"/>
      <c r="H34" s="32"/>
      <c r="I34" s="32"/>
      <c r="M34" s="32"/>
      <c r="Q34" s="232"/>
    </row>
    <row r="36" spans="1:17" ht="11.25" customHeight="1" x14ac:dyDescent="0.25"/>
  </sheetData>
  <mergeCells count="9">
    <mergeCell ref="O10:P10"/>
    <mergeCell ref="A8:N8"/>
    <mergeCell ref="A10:A11"/>
    <mergeCell ref="B10:B11"/>
    <mergeCell ref="C10:E10"/>
    <mergeCell ref="F10:G10"/>
    <mergeCell ref="H10:J10"/>
    <mergeCell ref="K10:L10"/>
    <mergeCell ref="M10:N10"/>
  </mergeCells>
  <pageMargins left="0.7" right="0.7" top="0.75" bottom="0.75" header="0.3" footer="0.3"/>
  <pageSetup paperSize="9" scale="9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Y36"/>
  <sheetViews>
    <sheetView view="pageBreakPreview" topLeftCell="D1" zoomScale="70" zoomScaleNormal="85" zoomScaleSheetLayoutView="70" workbookViewId="0">
      <selection activeCell="R15" sqref="R15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7" width="16.5546875" style="18" customWidth="1"/>
    <col min="8" max="8" width="16.109375" style="30" hidden="1" customWidth="1"/>
    <col min="9" max="9" width="16.109375" style="30" customWidth="1"/>
    <col min="10" max="12" width="18.5546875" style="17" customWidth="1"/>
    <col min="13" max="13" width="16.109375" style="30" customWidth="1"/>
    <col min="14" max="16" width="18.5546875" style="17" customWidth="1"/>
    <col min="17" max="17" width="22" style="232" customWidth="1"/>
    <col min="18" max="18" width="14.88671875" style="17" customWidth="1"/>
    <col min="19" max="19" width="20.6640625" style="17" customWidth="1"/>
    <col min="20" max="20" width="7" style="17" customWidth="1"/>
    <col min="21" max="21" width="15" style="17" customWidth="1"/>
    <col min="22" max="22" width="11.44140625" style="17" customWidth="1"/>
    <col min="23" max="23" width="7" style="17"/>
    <col min="24" max="24" width="18.109375" style="17" customWidth="1"/>
    <col min="25" max="16384" width="7" style="17"/>
  </cols>
  <sheetData>
    <row r="3" spans="1:21" ht="9.75" customHeight="1" x14ac:dyDescent="0.25">
      <c r="A3" s="15"/>
      <c r="B3" s="15"/>
      <c r="C3" s="15"/>
      <c r="D3" s="15"/>
      <c r="E3" s="15"/>
      <c r="F3" s="15"/>
      <c r="G3" s="15"/>
      <c r="H3" s="16"/>
      <c r="I3" s="16"/>
      <c r="J3" s="15"/>
      <c r="K3" s="15"/>
      <c r="L3" s="15"/>
      <c r="M3" s="16"/>
      <c r="N3" s="15"/>
      <c r="O3" s="15"/>
      <c r="P3" s="15"/>
    </row>
    <row r="4" spans="1:21" ht="9.75" customHeight="1" x14ac:dyDescent="0.25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  <c r="M4" s="16"/>
      <c r="N4" s="15"/>
      <c r="O4" s="15"/>
      <c r="P4" s="15"/>
    </row>
    <row r="5" spans="1:21" ht="9.75" customHeight="1" x14ac:dyDescent="0.25">
      <c r="A5" s="15"/>
      <c r="B5" s="15"/>
      <c r="C5" s="15"/>
      <c r="D5" s="15"/>
      <c r="E5" s="15"/>
      <c r="F5" s="15"/>
      <c r="G5" s="15"/>
      <c r="H5" s="16"/>
      <c r="I5" s="16"/>
      <c r="J5" s="15"/>
      <c r="K5" s="15"/>
      <c r="L5" s="15"/>
      <c r="M5" s="16"/>
      <c r="N5" s="15"/>
      <c r="O5" s="15"/>
      <c r="P5" s="15"/>
    </row>
    <row r="6" spans="1:21" ht="9.75" customHeight="1" x14ac:dyDescent="0.25">
      <c r="A6" s="15"/>
      <c r="B6" s="15"/>
      <c r="C6" s="15"/>
      <c r="D6" s="15"/>
      <c r="E6" s="15"/>
      <c r="F6" s="15"/>
      <c r="G6" s="15"/>
      <c r="H6" s="16"/>
      <c r="I6" s="16"/>
      <c r="J6" s="15"/>
      <c r="K6" s="15"/>
      <c r="L6" s="15"/>
      <c r="M6" s="16"/>
      <c r="N6" s="15"/>
      <c r="O6" s="15"/>
      <c r="P6" s="15"/>
    </row>
    <row r="7" spans="1:21" ht="12.75" customHeight="1" x14ac:dyDescent="0.25">
      <c r="A7" s="15"/>
      <c r="B7" s="15"/>
      <c r="C7" s="15"/>
      <c r="D7" s="15"/>
      <c r="E7" s="15"/>
      <c r="F7" s="15"/>
      <c r="G7" s="15"/>
      <c r="H7" s="16"/>
      <c r="I7" s="16"/>
      <c r="J7" s="15"/>
      <c r="K7" s="15"/>
      <c r="L7" s="15"/>
      <c r="M7" s="16"/>
      <c r="N7" s="15"/>
      <c r="O7" s="15"/>
      <c r="P7" s="15"/>
    </row>
    <row r="8" spans="1:21" ht="23.25" customHeight="1" x14ac:dyDescent="0.25">
      <c r="A8" s="407" t="s">
        <v>306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331"/>
      <c r="P8" s="331"/>
    </row>
    <row r="9" spans="1:21" s="20" customFormat="1" ht="21.75" customHeight="1" x14ac:dyDescent="0.25">
      <c r="H9" s="21"/>
      <c r="I9" s="21"/>
      <c r="M9" s="21"/>
      <c r="Q9" s="397" t="s">
        <v>324</v>
      </c>
      <c r="R9" s="396" t="s">
        <v>260</v>
      </c>
      <c r="S9" s="395">
        <v>450000000</v>
      </c>
    </row>
    <row r="10" spans="1:21" s="3" customFormat="1" ht="30" customHeight="1" x14ac:dyDescent="0.25">
      <c r="A10" s="408" t="s">
        <v>76</v>
      </c>
      <c r="B10" s="408" t="s">
        <v>115</v>
      </c>
      <c r="C10" s="410" t="s">
        <v>302</v>
      </c>
      <c r="D10" s="425"/>
      <c r="E10" s="411"/>
      <c r="F10" s="410" t="s">
        <v>303</v>
      </c>
      <c r="G10" s="411"/>
      <c r="H10" s="412" t="s">
        <v>304</v>
      </c>
      <c r="I10" s="426"/>
      <c r="J10" s="413"/>
      <c r="K10" s="412" t="s">
        <v>305</v>
      </c>
      <c r="L10" s="413"/>
      <c r="M10" s="414" t="s">
        <v>307</v>
      </c>
      <c r="N10" s="414"/>
      <c r="O10" s="414" t="s">
        <v>308</v>
      </c>
      <c r="P10" s="412"/>
      <c r="Q10" s="397" t="s">
        <v>325</v>
      </c>
      <c r="R10" s="396" t="s">
        <v>260</v>
      </c>
      <c r="S10" s="395">
        <v>420000000</v>
      </c>
      <c r="U10" s="208"/>
    </row>
    <row r="11" spans="1:21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30" t="s">
        <v>290</v>
      </c>
      <c r="G11" s="230" t="s">
        <v>78</v>
      </c>
      <c r="H11" s="296" t="s">
        <v>77</v>
      </c>
      <c r="I11" s="230" t="s">
        <v>290</v>
      </c>
      <c r="J11" s="230" t="s">
        <v>78</v>
      </c>
      <c r="K11" s="230" t="s">
        <v>290</v>
      </c>
      <c r="L11" s="230" t="s">
        <v>78</v>
      </c>
      <c r="M11" s="230" t="s">
        <v>77</v>
      </c>
      <c r="N11" s="230" t="s">
        <v>78</v>
      </c>
      <c r="O11" s="230" t="s">
        <v>77</v>
      </c>
      <c r="P11" s="230" t="s">
        <v>78</v>
      </c>
      <c r="Q11" s="232"/>
      <c r="S11" s="394"/>
      <c r="U11" s="208"/>
    </row>
    <row r="12" spans="1:21" s="2" customFormat="1" ht="30" customHeight="1" x14ac:dyDescent="0.25">
      <c r="A12" s="234">
        <v>1</v>
      </c>
      <c r="B12" s="306" t="s">
        <v>79</v>
      </c>
      <c r="C12" s="268">
        <f>E12/$E$20*100</f>
        <v>13.448042568198629</v>
      </c>
      <c r="D12" s="300">
        <v>1.1874999999999998</v>
      </c>
      <c r="E12" s="301">
        <f t="shared" ref="E12:E19" si="0">(D12/100)*$S$10</f>
        <v>4987499.9999999991</v>
      </c>
      <c r="F12" s="333">
        <f>D12/55*53</f>
        <v>1.1443181818181816</v>
      </c>
      <c r="G12" s="301">
        <f t="shared" ref="G12:G19" si="1">(F12/100)*$S$9</f>
        <v>5149431.8181818174</v>
      </c>
      <c r="H12" s="302">
        <f>J12/$J$20*100</f>
        <v>15.926316803397317</v>
      </c>
      <c r="I12" s="303">
        <v>1.1418721000000003</v>
      </c>
      <c r="J12" s="301">
        <f t="shared" ref="J12:J19" si="2">(I12/100)*$S$10</f>
        <v>4795862.8200000012</v>
      </c>
      <c r="K12" s="333">
        <f>M12-F12</f>
        <v>1.1850539181818185</v>
      </c>
      <c r="L12" s="301">
        <f t="shared" ref="L12:L19" si="3">(K12/100)*$S$9</f>
        <v>5332742.6318181837</v>
      </c>
      <c r="M12" s="259">
        <f t="shared" ref="M12:M19" si="4">N12/$S$10*100</f>
        <v>2.3293721000000001</v>
      </c>
      <c r="N12" s="257">
        <f>E12+J12</f>
        <v>9783362.8200000003</v>
      </c>
      <c r="O12" s="286">
        <f>F12+K12</f>
        <v>2.3293721000000001</v>
      </c>
      <c r="P12" s="257">
        <f>G12+L12</f>
        <v>10482174.450000001</v>
      </c>
      <c r="Q12" s="332"/>
      <c r="R12" s="305"/>
      <c r="S12" s="196"/>
      <c r="U12" s="208"/>
    </row>
    <row r="13" spans="1:21" s="2" customFormat="1" ht="30" customHeight="1" x14ac:dyDescent="0.25">
      <c r="A13" s="234">
        <v>2</v>
      </c>
      <c r="B13" s="306" t="s">
        <v>80</v>
      </c>
      <c r="C13" s="268">
        <f t="shared" ref="C13:C19" si="5">E13/$E$20*100</f>
        <v>10.63428401683921</v>
      </c>
      <c r="D13" s="300">
        <v>0.93903720232558097</v>
      </c>
      <c r="E13" s="301">
        <f t="shared" si="0"/>
        <v>3943956.2497674399</v>
      </c>
      <c r="F13" s="333">
        <f t="shared" ref="F13:F18" si="6">D13/55*53</f>
        <v>0.90489039496828716</v>
      </c>
      <c r="G13" s="301">
        <f t="shared" si="1"/>
        <v>4072006.7773572919</v>
      </c>
      <c r="H13" s="302">
        <f t="shared" ref="H13:H19" si="7">J13/$J$20*100</f>
        <v>6.5274528241735146</v>
      </c>
      <c r="I13" s="303">
        <v>0.46799999999999992</v>
      </c>
      <c r="J13" s="301">
        <f t="shared" si="2"/>
        <v>1965599.9999999998</v>
      </c>
      <c r="K13" s="333">
        <f t="shared" ref="K13:K18" si="8">M13-F13</f>
        <v>0.50214680735729367</v>
      </c>
      <c r="L13" s="301">
        <f t="shared" si="3"/>
        <v>2259660.6331078219</v>
      </c>
      <c r="M13" s="259">
        <f t="shared" si="4"/>
        <v>1.4070372023255808</v>
      </c>
      <c r="N13" s="257">
        <f>E13+J13</f>
        <v>5909556.2497674394</v>
      </c>
      <c r="O13" s="286">
        <f t="shared" ref="O13:O18" si="9">F13+K13</f>
        <v>1.4070372023255808</v>
      </c>
      <c r="P13" s="257">
        <f t="shared" ref="P13:P19" si="10">G13+L13</f>
        <v>6331667.4104651138</v>
      </c>
      <c r="Q13" s="232"/>
      <c r="R13" s="305"/>
      <c r="S13" s="196"/>
      <c r="U13" s="208"/>
    </row>
    <row r="14" spans="1:21" s="2" customFormat="1" ht="30" customHeight="1" x14ac:dyDescent="0.25">
      <c r="A14" s="234">
        <v>3</v>
      </c>
      <c r="B14" s="306" t="s">
        <v>81</v>
      </c>
      <c r="C14" s="268">
        <f t="shared" si="5"/>
        <v>15.503469705990675</v>
      </c>
      <c r="D14" s="300">
        <v>1.369</v>
      </c>
      <c r="E14" s="301">
        <f t="shared" si="0"/>
        <v>5749800</v>
      </c>
      <c r="F14" s="333">
        <f t="shared" si="6"/>
        <v>1.3192181818181818</v>
      </c>
      <c r="G14" s="301">
        <f t="shared" si="1"/>
        <v>5936481.8181818184</v>
      </c>
      <c r="H14" s="302">
        <f t="shared" si="7"/>
        <v>14.505450720385591</v>
      </c>
      <c r="I14" s="303">
        <v>1.04</v>
      </c>
      <c r="J14" s="301">
        <f t="shared" si="2"/>
        <v>4368000</v>
      </c>
      <c r="K14" s="333">
        <f t="shared" si="8"/>
        <v>1.089781818181818</v>
      </c>
      <c r="L14" s="301">
        <f t="shared" si="3"/>
        <v>4904018.1818181807</v>
      </c>
      <c r="M14" s="259">
        <f t="shared" si="4"/>
        <v>2.4089999999999998</v>
      </c>
      <c r="N14" s="257">
        <f t="shared" ref="N14:N19" si="11">E14+J14</f>
        <v>10117800</v>
      </c>
      <c r="O14" s="286">
        <f t="shared" si="9"/>
        <v>2.4089999999999998</v>
      </c>
      <c r="P14" s="257">
        <f t="shared" si="10"/>
        <v>10840500</v>
      </c>
      <c r="Q14" s="232"/>
      <c r="R14" s="305"/>
      <c r="S14" s="196"/>
      <c r="U14" s="208"/>
    </row>
    <row r="15" spans="1:21" s="2" customFormat="1" ht="30" customHeight="1" x14ac:dyDescent="0.25">
      <c r="A15" s="234">
        <v>4</v>
      </c>
      <c r="B15" s="306" t="s">
        <v>82</v>
      </c>
      <c r="C15" s="268">
        <f>E15/$E$20*100</f>
        <v>18.958283363951594</v>
      </c>
      <c r="D15" s="300">
        <v>1.6740697674418603</v>
      </c>
      <c r="E15" s="301">
        <f t="shared" si="0"/>
        <v>7031093.0232558129</v>
      </c>
      <c r="F15" s="333">
        <f t="shared" si="6"/>
        <v>1.6131945031712471</v>
      </c>
      <c r="G15" s="301">
        <f t="shared" si="1"/>
        <v>7259375.264270612</v>
      </c>
      <c r="H15" s="302">
        <f t="shared" si="7"/>
        <v>15.737181457541055</v>
      </c>
      <c r="I15" s="309">
        <v>1.1283116279069769</v>
      </c>
      <c r="J15" s="301">
        <f t="shared" si="2"/>
        <v>4738908.8372093039</v>
      </c>
      <c r="K15" s="333">
        <f t="shared" si="8"/>
        <v>1.1891868921775901</v>
      </c>
      <c r="L15" s="301">
        <f t="shared" si="3"/>
        <v>5351341.0147991553</v>
      </c>
      <c r="M15" s="259">
        <f t="shared" si="4"/>
        <v>2.8023813953488372</v>
      </c>
      <c r="N15" s="257">
        <f t="shared" si="11"/>
        <v>11770001.860465117</v>
      </c>
      <c r="O15" s="286">
        <f t="shared" si="9"/>
        <v>2.8023813953488372</v>
      </c>
      <c r="P15" s="257">
        <f t="shared" si="10"/>
        <v>12610716.279069766</v>
      </c>
      <c r="Q15" s="232"/>
      <c r="R15" s="305"/>
      <c r="S15" s="196"/>
      <c r="U15" s="208"/>
    </row>
    <row r="16" spans="1:21" s="2" customFormat="1" ht="30" customHeight="1" x14ac:dyDescent="0.25">
      <c r="A16" s="234">
        <v>5</v>
      </c>
      <c r="B16" s="306" t="s">
        <v>83</v>
      </c>
      <c r="C16" s="268">
        <f t="shared" si="5"/>
        <v>13.812407158516432</v>
      </c>
      <c r="D16" s="300">
        <v>1.2196744186046511</v>
      </c>
      <c r="E16" s="301">
        <f t="shared" si="0"/>
        <v>5122632.5581395347</v>
      </c>
      <c r="F16" s="333">
        <f t="shared" si="6"/>
        <v>1.1753226215644819</v>
      </c>
      <c r="G16" s="301">
        <f t="shared" si="1"/>
        <v>5288951.7970401682</v>
      </c>
      <c r="H16" s="302">
        <f t="shared" si="7"/>
        <v>18.711123216819392</v>
      </c>
      <c r="I16" s="303">
        <v>1.3415348837209304</v>
      </c>
      <c r="J16" s="301">
        <f t="shared" si="2"/>
        <v>5634446.5116279079</v>
      </c>
      <c r="K16" s="333">
        <f t="shared" si="8"/>
        <v>1.3858866807610994</v>
      </c>
      <c r="L16" s="301">
        <f t="shared" si="3"/>
        <v>6236490.0634249477</v>
      </c>
      <c r="M16" s="259">
        <f t="shared" si="4"/>
        <v>2.5612093023255813</v>
      </c>
      <c r="N16" s="257">
        <f t="shared" si="11"/>
        <v>10757079.069767442</v>
      </c>
      <c r="O16" s="286">
        <f t="shared" si="9"/>
        <v>2.5612093023255813</v>
      </c>
      <c r="P16" s="257">
        <f t="shared" si="10"/>
        <v>11525441.860465117</v>
      </c>
      <c r="Q16" s="232"/>
      <c r="R16" s="305"/>
      <c r="S16" s="196"/>
      <c r="U16" s="208"/>
    </row>
    <row r="17" spans="1:25" s="2" customFormat="1" ht="30" customHeight="1" x14ac:dyDescent="0.25">
      <c r="A17" s="234">
        <v>6</v>
      </c>
      <c r="B17" s="307" t="s">
        <v>84</v>
      </c>
      <c r="C17" s="268">
        <f t="shared" si="5"/>
        <v>11.947524134273307</v>
      </c>
      <c r="D17" s="293">
        <v>1.0549999999999999</v>
      </c>
      <c r="E17" s="301">
        <f t="shared" si="0"/>
        <v>4430999.9999999991</v>
      </c>
      <c r="F17" s="333">
        <f t="shared" si="6"/>
        <v>1.0166363636363636</v>
      </c>
      <c r="G17" s="301">
        <f t="shared" si="1"/>
        <v>4574863.6363636358</v>
      </c>
      <c r="H17" s="261">
        <f t="shared" si="7"/>
        <v>12.552793892641375</v>
      </c>
      <c r="I17" s="294">
        <v>0.9</v>
      </c>
      <c r="J17" s="301">
        <f t="shared" si="2"/>
        <v>3780000.0000000005</v>
      </c>
      <c r="K17" s="333">
        <f t="shared" si="8"/>
        <v>0.93836363636363651</v>
      </c>
      <c r="L17" s="301">
        <f t="shared" si="3"/>
        <v>4222636.3636363642</v>
      </c>
      <c r="M17" s="259">
        <f t="shared" si="4"/>
        <v>1.9550000000000001</v>
      </c>
      <c r="N17" s="257">
        <f t="shared" si="11"/>
        <v>8211000</v>
      </c>
      <c r="O17" s="286">
        <f t="shared" si="9"/>
        <v>1.9550000000000001</v>
      </c>
      <c r="P17" s="257">
        <f>G17+L17</f>
        <v>8797500</v>
      </c>
      <c r="Q17" s="232"/>
      <c r="R17" s="305"/>
      <c r="S17" s="196"/>
      <c r="U17" s="208"/>
    </row>
    <row r="18" spans="1:25" s="2" customFormat="1" ht="30" customHeight="1" x14ac:dyDescent="0.25">
      <c r="A18" s="234">
        <v>7</v>
      </c>
      <c r="B18" s="306" t="s">
        <v>268</v>
      </c>
      <c r="C18" s="268">
        <f t="shared" si="5"/>
        <v>9.8751099953424895</v>
      </c>
      <c r="D18" s="293">
        <v>0.872</v>
      </c>
      <c r="E18" s="301">
        <f t="shared" si="0"/>
        <v>3662400</v>
      </c>
      <c r="F18" s="333">
        <f t="shared" si="6"/>
        <v>0.84029090909090909</v>
      </c>
      <c r="G18" s="301">
        <f t="shared" si="1"/>
        <v>3781309.0909090908</v>
      </c>
      <c r="H18" s="261">
        <f t="shared" si="7"/>
        <v>16.039681085041757</v>
      </c>
      <c r="I18" s="294">
        <v>1.1499999999999999</v>
      </c>
      <c r="J18" s="301">
        <f t="shared" si="2"/>
        <v>4830000</v>
      </c>
      <c r="K18" s="333">
        <f t="shared" si="8"/>
        <v>1.1817090909090906</v>
      </c>
      <c r="L18" s="301">
        <f t="shared" si="3"/>
        <v>5317690.9090909073</v>
      </c>
      <c r="M18" s="259">
        <f t="shared" si="4"/>
        <v>2.0219999999999998</v>
      </c>
      <c r="N18" s="257">
        <f t="shared" si="11"/>
        <v>8492400</v>
      </c>
      <c r="O18" s="286">
        <f t="shared" si="9"/>
        <v>2.0219999999999998</v>
      </c>
      <c r="P18" s="257">
        <f t="shared" si="10"/>
        <v>9098999.9999999981</v>
      </c>
      <c r="Q18" s="232"/>
      <c r="R18" s="305"/>
      <c r="S18" s="244"/>
      <c r="U18" s="208"/>
    </row>
    <row r="19" spans="1:25" s="2" customFormat="1" ht="30" customHeight="1" x14ac:dyDescent="0.25">
      <c r="A19" s="234">
        <v>8</v>
      </c>
      <c r="B19" s="306" t="s">
        <v>269</v>
      </c>
      <c r="C19" s="268">
        <f t="shared" si="5"/>
        <v>5.8208790568876596</v>
      </c>
      <c r="D19" s="293">
        <v>0.51400000000000001</v>
      </c>
      <c r="E19" s="301">
        <f t="shared" si="0"/>
        <v>2158800</v>
      </c>
      <c r="F19" s="398">
        <v>0.51400000000000001</v>
      </c>
      <c r="G19" s="301">
        <f t="shared" si="1"/>
        <v>2313000</v>
      </c>
      <c r="H19" s="261">
        <f t="shared" si="7"/>
        <v>0</v>
      </c>
      <c r="I19" s="294">
        <v>0</v>
      </c>
      <c r="J19" s="301">
        <f t="shared" si="2"/>
        <v>0</v>
      </c>
      <c r="K19" s="333">
        <f>I19/55*49</f>
        <v>0</v>
      </c>
      <c r="L19" s="301">
        <f t="shared" si="3"/>
        <v>0</v>
      </c>
      <c r="M19" s="259">
        <f t="shared" si="4"/>
        <v>0.51400000000000001</v>
      </c>
      <c r="N19" s="257">
        <f t="shared" si="11"/>
        <v>2158800</v>
      </c>
      <c r="O19" s="286">
        <f>F19+K19</f>
        <v>0.51400000000000001</v>
      </c>
      <c r="P19" s="257">
        <f t="shared" si="10"/>
        <v>2313000</v>
      </c>
      <c r="Q19" s="232"/>
      <c r="R19" s="305"/>
      <c r="S19" s="244"/>
      <c r="U19" s="208"/>
    </row>
    <row r="20" spans="1:25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37087181.831162788</v>
      </c>
      <c r="F20" s="295">
        <f>SUM(F12:F19)</f>
        <v>8.5278711560676523</v>
      </c>
      <c r="G20" s="247">
        <f>SUM(G12:G19)</f>
        <v>38375420.202304438</v>
      </c>
      <c r="H20" s="247">
        <f>J20/$J$20*100</f>
        <v>100</v>
      </c>
      <c r="I20" s="295">
        <f>SUM(I12:I19)</f>
        <v>7.1697186116279088</v>
      </c>
      <c r="J20" s="247">
        <f t="shared" ref="J20" si="12">SUM(J12:J19)</f>
        <v>30112818.168837212</v>
      </c>
      <c r="K20" s="295">
        <f>SUM(K12:K19)</f>
        <v>7.4721288439323459</v>
      </c>
      <c r="L20" s="247">
        <f t="shared" ref="L20:P20" si="13">SUM(L12:L19)</f>
        <v>33624579.797695562</v>
      </c>
      <c r="M20" s="310">
        <f t="shared" si="13"/>
        <v>15.999999999999998</v>
      </c>
      <c r="N20" s="256">
        <f t="shared" si="13"/>
        <v>67200000</v>
      </c>
      <c r="O20" s="310">
        <f>SUM(O12:O19)</f>
        <v>15.999999999999998</v>
      </c>
      <c r="P20" s="256">
        <f t="shared" si="13"/>
        <v>72000000</v>
      </c>
      <c r="Q20" s="311"/>
      <c r="R20" s="207"/>
      <c r="S20" s="200"/>
      <c r="U20" s="208"/>
      <c r="V20" s="276"/>
      <c r="Y20" s="277"/>
    </row>
    <row r="21" spans="1:25" s="29" customFormat="1" ht="18" customHeight="1" x14ac:dyDescent="0.25">
      <c r="A21" s="262"/>
      <c r="B21" s="263"/>
      <c r="C21" s="263"/>
      <c r="D21" s="263"/>
      <c r="E21" s="263"/>
      <c r="F21" s="263"/>
      <c r="G21" s="263"/>
      <c r="H21" s="264"/>
      <c r="I21" s="264"/>
      <c r="J21" s="253"/>
      <c r="K21" s="253"/>
      <c r="L21" s="253"/>
      <c r="M21" s="264"/>
      <c r="N21" s="253"/>
      <c r="O21" s="253"/>
      <c r="P21" s="253"/>
      <c r="Q21" s="232"/>
      <c r="U21" s="265"/>
    </row>
    <row r="22" spans="1:25" s="29" customFormat="1" ht="18" customHeight="1" x14ac:dyDescent="0.25">
      <c r="A22" s="262"/>
      <c r="B22" s="263"/>
      <c r="C22" s="263"/>
      <c r="D22" s="263"/>
      <c r="E22" s="292">
        <f>E20/N20</f>
        <v>0.55189258677325581</v>
      </c>
      <c r="F22" s="292"/>
      <c r="G22" s="292">
        <f>G20/P20</f>
        <v>0.53299194725422827</v>
      </c>
      <c r="H22" s="334"/>
      <c r="I22" s="334"/>
      <c r="J22" s="292">
        <f>J20/N20</f>
        <v>0.44810741322674424</v>
      </c>
      <c r="K22" s="292"/>
      <c r="L22" s="292">
        <f>L20/P20</f>
        <v>0.46700805274577167</v>
      </c>
      <c r="M22" s="264"/>
      <c r="N22" s="253"/>
      <c r="O22" s="253"/>
      <c r="P22" s="253"/>
      <c r="Q22" s="232"/>
      <c r="U22" s="265"/>
    </row>
    <row r="23" spans="1:25" s="29" customFormat="1" ht="18" customHeight="1" x14ac:dyDescent="0.25">
      <c r="A23" s="262"/>
      <c r="B23" s="263"/>
      <c r="C23" s="263"/>
      <c r="D23" s="263"/>
      <c r="E23" s="291">
        <f>E20/100000</f>
        <v>370.87181831162786</v>
      </c>
      <c r="F23" s="291"/>
      <c r="G23" s="393">
        <f>G20/100000</f>
        <v>383.7542020230444</v>
      </c>
      <c r="H23" s="327"/>
      <c r="I23" s="327"/>
      <c r="J23" s="327">
        <f>J20/100000</f>
        <v>301.12818168837214</v>
      </c>
      <c r="K23" s="327"/>
      <c r="L23" s="327">
        <f>L20/100000</f>
        <v>336.2457979769556</v>
      </c>
      <c r="M23" s="264"/>
      <c r="N23" s="253"/>
      <c r="O23" s="253"/>
      <c r="P23" s="253"/>
      <c r="Q23" s="232"/>
      <c r="U23" s="265"/>
    </row>
    <row r="24" spans="1:25" ht="18" customHeight="1" x14ac:dyDescent="0.25">
      <c r="A24" s="48"/>
      <c r="B24" s="48"/>
      <c r="C24" s="48"/>
      <c r="D24" s="48"/>
      <c r="E24" s="287"/>
      <c r="F24" s="287"/>
      <c r="G24" s="287"/>
      <c r="H24" s="21"/>
      <c r="I24" s="21"/>
      <c r="J24" s="287"/>
      <c r="K24" s="287"/>
      <c r="L24" s="287"/>
      <c r="M24" s="21"/>
      <c r="N24" s="187"/>
      <c r="O24" s="187"/>
      <c r="P24" s="187"/>
    </row>
    <row r="25" spans="1:25" ht="18" customHeight="1" x14ac:dyDescent="0.25">
      <c r="A25" s="48"/>
      <c r="B25" s="48"/>
      <c r="C25" s="48"/>
      <c r="D25" s="48"/>
      <c r="E25" s="48"/>
      <c r="F25" s="48"/>
      <c r="G25" s="48"/>
      <c r="H25" s="21"/>
      <c r="I25" s="21"/>
      <c r="J25" s="187"/>
      <c r="K25" s="187"/>
      <c r="L25" s="187"/>
      <c r="M25" s="21"/>
      <c r="N25" s="187"/>
      <c r="O25" s="187"/>
      <c r="P25" s="187"/>
    </row>
    <row r="26" spans="1:25" x14ac:dyDescent="0.25">
      <c r="A26" s="31"/>
      <c r="B26" s="31"/>
      <c r="C26" s="31"/>
      <c r="D26" s="31"/>
      <c r="E26" s="31"/>
      <c r="F26" s="31"/>
      <c r="G26" s="31"/>
    </row>
    <row r="27" spans="1:25" x14ac:dyDescent="0.25">
      <c r="A27" s="31"/>
      <c r="B27" s="31"/>
      <c r="C27" s="31"/>
      <c r="D27" s="31"/>
      <c r="E27" s="31"/>
      <c r="F27" s="31"/>
      <c r="G27" s="31"/>
    </row>
    <row r="28" spans="1:25" ht="15.6" x14ac:dyDescent="0.25">
      <c r="A28" s="31"/>
      <c r="B28" s="1"/>
      <c r="J28" s="1"/>
      <c r="K28" s="1"/>
      <c r="L28" s="1"/>
      <c r="N28" s="1"/>
      <c r="O28" s="1"/>
      <c r="P28" s="1"/>
    </row>
    <row r="29" spans="1:25" ht="26.25" customHeight="1" x14ac:dyDescent="0.25">
      <c r="A29" s="31"/>
      <c r="B29" s="1"/>
      <c r="J29" s="1"/>
      <c r="K29" s="1"/>
      <c r="L29" s="1"/>
      <c r="N29" s="1"/>
      <c r="O29" s="1"/>
      <c r="P29" s="1"/>
    </row>
    <row r="30" spans="1:25" ht="15.6" x14ac:dyDescent="0.25">
      <c r="B30" s="2"/>
      <c r="J30" s="3"/>
      <c r="K30" s="3"/>
      <c r="L30" s="3"/>
      <c r="N30" s="3"/>
      <c r="O30" s="3"/>
      <c r="P30" s="3"/>
    </row>
    <row r="31" spans="1:25" ht="15.6" x14ac:dyDescent="0.25">
      <c r="B31" s="1"/>
      <c r="J31" s="1"/>
      <c r="K31" s="1"/>
      <c r="L31" s="1"/>
      <c r="N31" s="1"/>
      <c r="O31" s="1"/>
      <c r="P31" s="1"/>
    </row>
    <row r="32" spans="1:25" s="24" customFormat="1" ht="15.6" x14ac:dyDescent="0.25">
      <c r="B32" s="4"/>
      <c r="H32" s="32"/>
      <c r="I32" s="32"/>
      <c r="J32" s="4"/>
      <c r="K32" s="4"/>
      <c r="L32" s="4"/>
      <c r="M32" s="32"/>
      <c r="N32" s="4"/>
      <c r="O32" s="4"/>
      <c r="P32" s="4"/>
      <c r="Q32" s="232"/>
    </row>
    <row r="33" spans="1:17" s="24" customFormat="1" ht="24" customHeight="1" x14ac:dyDescent="0.25">
      <c r="A33" s="18"/>
      <c r="B33" s="1"/>
      <c r="H33" s="32"/>
      <c r="I33" s="32"/>
      <c r="J33" s="1"/>
      <c r="K33" s="1"/>
      <c r="L33" s="1"/>
      <c r="M33" s="32"/>
      <c r="N33" s="1"/>
      <c r="O33" s="1"/>
      <c r="P33" s="1"/>
      <c r="Q33" s="232"/>
    </row>
    <row r="34" spans="1:17" s="24" customFormat="1" x14ac:dyDescent="0.25">
      <c r="A34" s="18"/>
      <c r="B34" s="18"/>
      <c r="C34" s="18"/>
      <c r="D34" s="18"/>
      <c r="E34" s="18"/>
      <c r="F34" s="18"/>
      <c r="G34" s="18"/>
      <c r="H34" s="32"/>
      <c r="I34" s="32"/>
      <c r="M34" s="32"/>
      <c r="Q34" s="232"/>
    </row>
    <row r="36" spans="1:17" ht="11.25" customHeight="1" x14ac:dyDescent="0.25"/>
  </sheetData>
  <mergeCells count="9">
    <mergeCell ref="O10:P10"/>
    <mergeCell ref="A8:N8"/>
    <mergeCell ref="A10:A11"/>
    <mergeCell ref="B10:B11"/>
    <mergeCell ref="C10:E10"/>
    <mergeCell ref="H10:J10"/>
    <mergeCell ref="M10:N10"/>
    <mergeCell ref="F10:G10"/>
    <mergeCell ref="K10:L10"/>
  </mergeCells>
  <pageMargins left="0.7" right="0.7" top="0.75" bottom="0.75" header="0.3" footer="0.3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U36"/>
  <sheetViews>
    <sheetView view="pageBreakPreview" topLeftCell="A7" zoomScale="85" zoomScaleNormal="85" zoomScaleSheetLayoutView="85" workbookViewId="0">
      <selection activeCell="E19" sqref="E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7" width="16.109375" style="30" customWidth="1"/>
    <col min="8" max="8" width="18.5546875" style="17" customWidth="1"/>
    <col min="9" max="9" width="16.109375" style="30" customWidth="1"/>
    <col min="10" max="10" width="18.5546875" style="17" customWidth="1"/>
    <col min="11" max="11" width="19" style="17" customWidth="1"/>
    <col min="12" max="12" width="18.5546875" style="17" customWidth="1"/>
    <col min="13" max="13" width="22" style="232" customWidth="1"/>
    <col min="14" max="14" width="14.88671875" style="17" customWidth="1"/>
    <col min="15" max="15" width="15" style="17" customWidth="1"/>
    <col min="16" max="16" width="7" style="17" customWidth="1"/>
    <col min="17" max="17" width="15" style="17" customWidth="1"/>
    <col min="18" max="18" width="11.44140625" style="17" customWidth="1"/>
    <col min="19" max="19" width="7" style="17"/>
    <col min="20" max="20" width="18.109375" style="17" customWidth="1"/>
    <col min="21" max="16384" width="7" style="17"/>
  </cols>
  <sheetData>
    <row r="3" spans="1:17" ht="9.75" customHeight="1" x14ac:dyDescent="0.25">
      <c r="A3" s="15"/>
      <c r="B3" s="15"/>
      <c r="C3" s="15"/>
      <c r="D3" s="15"/>
      <c r="E3" s="15"/>
      <c r="F3" s="16"/>
      <c r="G3" s="16"/>
      <c r="H3" s="15"/>
      <c r="I3" s="16"/>
      <c r="J3" s="15"/>
      <c r="K3" s="15"/>
      <c r="L3" s="15"/>
    </row>
    <row r="4" spans="1:17" ht="9.75" customHeight="1" x14ac:dyDescent="0.25">
      <c r="A4" s="15"/>
      <c r="B4" s="15"/>
      <c r="C4" s="15"/>
      <c r="D4" s="15"/>
      <c r="E4" s="15"/>
      <c r="F4" s="16"/>
      <c r="G4" s="16"/>
      <c r="H4" s="15"/>
      <c r="I4" s="16"/>
      <c r="J4" s="15"/>
      <c r="K4" s="15"/>
      <c r="L4" s="15"/>
    </row>
    <row r="5" spans="1:17" ht="9.75" customHeight="1" x14ac:dyDescent="0.25">
      <c r="A5" s="15"/>
      <c r="B5" s="15"/>
      <c r="C5" s="15"/>
      <c r="D5" s="15"/>
      <c r="E5" s="15"/>
      <c r="F5" s="16"/>
      <c r="G5" s="16"/>
      <c r="H5" s="15"/>
      <c r="I5" s="16"/>
      <c r="J5" s="15"/>
      <c r="K5" s="15"/>
      <c r="L5" s="15"/>
    </row>
    <row r="6" spans="1:17" ht="9.75" customHeight="1" x14ac:dyDescent="0.25">
      <c r="A6" s="15"/>
      <c r="B6" s="15"/>
      <c r="C6" s="15"/>
      <c r="D6" s="15"/>
      <c r="E6" s="15"/>
      <c r="F6" s="16"/>
      <c r="G6" s="16"/>
      <c r="H6" s="15"/>
      <c r="I6" s="16"/>
      <c r="J6" s="15"/>
      <c r="K6" s="15"/>
      <c r="L6" s="15"/>
    </row>
    <row r="7" spans="1:17" ht="12.75" customHeight="1" x14ac:dyDescent="0.25">
      <c r="A7" s="15"/>
      <c r="B7" s="15"/>
      <c r="C7" s="15"/>
      <c r="D7" s="15"/>
      <c r="E7" s="15"/>
      <c r="F7" s="16"/>
      <c r="G7" s="16"/>
      <c r="H7" s="15"/>
      <c r="I7" s="16"/>
      <c r="J7" s="15"/>
      <c r="K7" s="15"/>
      <c r="L7" s="15"/>
    </row>
    <row r="8" spans="1:17" ht="23.25" customHeight="1" thickBot="1" x14ac:dyDescent="0.3">
      <c r="A8" s="407" t="s">
        <v>297</v>
      </c>
      <c r="B8" s="407"/>
      <c r="C8" s="407"/>
      <c r="D8" s="407"/>
      <c r="E8" s="407"/>
      <c r="F8" s="407"/>
      <c r="G8" s="407"/>
      <c r="H8" s="407"/>
      <c r="I8" s="407"/>
      <c r="J8" s="407"/>
      <c r="K8" s="258"/>
      <c r="L8" s="258"/>
    </row>
    <row r="9" spans="1:17" s="20" customFormat="1" ht="21.75" customHeight="1" x14ac:dyDescent="0.25">
      <c r="F9" s="21"/>
      <c r="G9" s="21"/>
      <c r="I9" s="21"/>
      <c r="M9" s="232"/>
      <c r="N9" s="202" t="s">
        <v>260</v>
      </c>
      <c r="O9" s="228">
        <v>430000000</v>
      </c>
    </row>
    <row r="10" spans="1:17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11"/>
      <c r="F10" s="412" t="s">
        <v>271</v>
      </c>
      <c r="G10" s="426"/>
      <c r="H10" s="413"/>
      <c r="I10" s="414" t="s">
        <v>40</v>
      </c>
      <c r="J10" s="414"/>
      <c r="K10" s="230"/>
      <c r="L10" s="230"/>
      <c r="M10" s="232"/>
      <c r="O10" s="204" t="s">
        <v>261</v>
      </c>
      <c r="Q10" s="208"/>
    </row>
    <row r="11" spans="1:17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96" t="s">
        <v>77</v>
      </c>
      <c r="G11" s="230" t="s">
        <v>290</v>
      </c>
      <c r="H11" s="230" t="s">
        <v>78</v>
      </c>
      <c r="I11" s="230" t="s">
        <v>77</v>
      </c>
      <c r="J11" s="230" t="s">
        <v>78</v>
      </c>
      <c r="K11" s="230" t="s">
        <v>273</v>
      </c>
      <c r="L11" s="230" t="s">
        <v>261</v>
      </c>
      <c r="M11" s="232"/>
      <c r="O11" s="233"/>
      <c r="Q11" s="208"/>
    </row>
    <row r="12" spans="1:17" s="2" customFormat="1" ht="30" customHeight="1" x14ac:dyDescent="0.25">
      <c r="A12" s="234">
        <v>1</v>
      </c>
      <c r="B12" s="306" t="s">
        <v>79</v>
      </c>
      <c r="C12" s="268">
        <f>E12/$E$20*100</f>
        <v>13.448042568198627</v>
      </c>
      <c r="D12" s="300">
        <v>1.1874999999999998</v>
      </c>
      <c r="E12" s="301">
        <f>(D12/100)*$O$9</f>
        <v>5106249.9999999991</v>
      </c>
      <c r="F12" s="302">
        <f>H12/$H$20*100</f>
        <v>15.926316803397317</v>
      </c>
      <c r="G12" s="303">
        <v>1.1418721000000003</v>
      </c>
      <c r="H12" s="304">
        <f>(G12/100)*$O$9</f>
        <v>4910050.0300000012</v>
      </c>
      <c r="I12" s="259">
        <f>J12/$O$9*100</f>
        <v>2.3293721000000005</v>
      </c>
      <c r="J12" s="257">
        <f>E12+H12</f>
        <v>10016300.030000001</v>
      </c>
      <c r="K12" s="286"/>
      <c r="L12" s="257">
        <f t="shared" ref="L12:L19" si="0">K12/100*$O$9</f>
        <v>0</v>
      </c>
      <c r="M12" s="332"/>
      <c r="N12" s="305"/>
      <c r="O12" s="196"/>
      <c r="Q12" s="208"/>
    </row>
    <row r="13" spans="1:17" s="2" customFormat="1" ht="30" customHeight="1" x14ac:dyDescent="0.25">
      <c r="A13" s="234">
        <v>2</v>
      </c>
      <c r="B13" s="306" t="s">
        <v>80</v>
      </c>
      <c r="C13" s="268">
        <f t="shared" ref="C13:C19" si="1">E13/$E$20*100</f>
        <v>10.634284016839212</v>
      </c>
      <c r="D13" s="300">
        <v>0.93903720232558097</v>
      </c>
      <c r="E13" s="301">
        <f>(D13/100)*$O$9</f>
        <v>4037859.9699999983</v>
      </c>
      <c r="F13" s="302">
        <f t="shared" ref="F13:F19" si="2">H13/$H$20*100</f>
        <v>6.5274528241735146</v>
      </c>
      <c r="G13" s="303">
        <v>0.46799999999999992</v>
      </c>
      <c r="H13" s="304">
        <f>(G13/100)*$O$9</f>
        <v>2012399.9999999998</v>
      </c>
      <c r="I13" s="259">
        <f t="shared" ref="I13:I19" si="3">J13/$O$9*100</f>
        <v>1.407037202325581</v>
      </c>
      <c r="J13" s="257">
        <f>E13+H13</f>
        <v>6050259.9699999979</v>
      </c>
      <c r="K13" s="286"/>
      <c r="L13" s="257">
        <f t="shared" si="0"/>
        <v>0</v>
      </c>
      <c r="M13" s="232"/>
      <c r="N13" s="305"/>
      <c r="O13" s="196"/>
      <c r="Q13" s="208"/>
    </row>
    <row r="14" spans="1:17" s="2" customFormat="1" ht="30" customHeight="1" x14ac:dyDescent="0.25">
      <c r="A14" s="234">
        <v>3</v>
      </c>
      <c r="B14" s="306" t="s">
        <v>81</v>
      </c>
      <c r="C14" s="268">
        <f t="shared" si="1"/>
        <v>15.503469705990671</v>
      </c>
      <c r="D14" s="300">
        <v>1.369</v>
      </c>
      <c r="E14" s="301">
        <f t="shared" ref="E14:E19" si="4">(D14/100)*$O$9</f>
        <v>5886700</v>
      </c>
      <c r="F14" s="302">
        <f t="shared" si="2"/>
        <v>14.505450720385591</v>
      </c>
      <c r="G14" s="303">
        <v>1.04</v>
      </c>
      <c r="H14" s="304">
        <f t="shared" ref="H14:H19" si="5">(G14/100)*$O$9</f>
        <v>4472000</v>
      </c>
      <c r="I14" s="259">
        <f t="shared" si="3"/>
        <v>2.4089999999999998</v>
      </c>
      <c r="J14" s="257">
        <f t="shared" ref="J14:J19" si="6">E14+H14</f>
        <v>10358700</v>
      </c>
      <c r="K14" s="286"/>
      <c r="L14" s="257">
        <f t="shared" si="0"/>
        <v>0</v>
      </c>
      <c r="M14" s="232"/>
      <c r="N14" s="305"/>
      <c r="O14" s="196"/>
      <c r="Q14" s="208"/>
    </row>
    <row r="15" spans="1:17" s="2" customFormat="1" ht="30" customHeight="1" x14ac:dyDescent="0.25">
      <c r="A15" s="234">
        <v>4</v>
      </c>
      <c r="B15" s="306" t="s">
        <v>82</v>
      </c>
      <c r="C15" s="268">
        <f>E15/$E$20*100</f>
        <v>18.958283363951594</v>
      </c>
      <c r="D15" s="300">
        <v>1.6740697674418603</v>
      </c>
      <c r="E15" s="301">
        <f t="shared" si="4"/>
        <v>7198499.9999999991</v>
      </c>
      <c r="F15" s="302">
        <f t="shared" si="2"/>
        <v>15.737181457541055</v>
      </c>
      <c r="G15" s="309">
        <v>1.1283116279069769</v>
      </c>
      <c r="H15" s="304">
        <f t="shared" si="5"/>
        <v>4851740.0000000009</v>
      </c>
      <c r="I15" s="299">
        <f t="shared" si="3"/>
        <v>2.8023813953488372</v>
      </c>
      <c r="J15" s="257">
        <f t="shared" si="6"/>
        <v>12050240</v>
      </c>
      <c r="K15" s="286"/>
      <c r="L15" s="257">
        <f t="shared" si="0"/>
        <v>0</v>
      </c>
      <c r="M15" s="232"/>
      <c r="N15" s="305"/>
      <c r="O15" s="196"/>
      <c r="Q15" s="208"/>
    </row>
    <row r="16" spans="1:17" s="2" customFormat="1" ht="30" customHeight="1" x14ac:dyDescent="0.25">
      <c r="A16" s="234">
        <v>5</v>
      </c>
      <c r="B16" s="306" t="s">
        <v>83</v>
      </c>
      <c r="C16" s="268">
        <f t="shared" si="1"/>
        <v>13.812407158516429</v>
      </c>
      <c r="D16" s="300">
        <v>1.2196744186046511</v>
      </c>
      <c r="E16" s="301">
        <f t="shared" si="4"/>
        <v>5244599.9999999991</v>
      </c>
      <c r="F16" s="302">
        <f t="shared" si="2"/>
        <v>18.711123216819395</v>
      </c>
      <c r="G16" s="303">
        <v>1.3415348837209304</v>
      </c>
      <c r="H16" s="304">
        <f t="shared" si="5"/>
        <v>5768600.0000000009</v>
      </c>
      <c r="I16" s="299">
        <f t="shared" si="3"/>
        <v>2.5612093023255813</v>
      </c>
      <c r="J16" s="257">
        <f t="shared" si="6"/>
        <v>11013200</v>
      </c>
      <c r="K16" s="286"/>
      <c r="L16" s="257">
        <f t="shared" si="0"/>
        <v>0</v>
      </c>
      <c r="M16" s="232"/>
      <c r="N16" s="305"/>
      <c r="O16" s="196"/>
      <c r="Q16" s="208"/>
    </row>
    <row r="17" spans="1:21" s="2" customFormat="1" ht="30" customHeight="1" x14ac:dyDescent="0.25">
      <c r="A17" s="234">
        <v>6</v>
      </c>
      <c r="B17" s="307" t="s">
        <v>84</v>
      </c>
      <c r="C17" s="268">
        <f t="shared" si="1"/>
        <v>11.947524134273307</v>
      </c>
      <c r="D17" s="293">
        <v>1.0549999999999999</v>
      </c>
      <c r="E17" s="236">
        <f t="shared" si="4"/>
        <v>4536499.9999999991</v>
      </c>
      <c r="F17" s="261">
        <f t="shared" si="2"/>
        <v>12.552793892641379</v>
      </c>
      <c r="G17" s="294">
        <v>0.9</v>
      </c>
      <c r="H17" s="237">
        <f t="shared" si="5"/>
        <v>3870000.0000000005</v>
      </c>
      <c r="I17" s="259">
        <f t="shared" si="3"/>
        <v>1.9550000000000001</v>
      </c>
      <c r="J17" s="257">
        <f t="shared" si="6"/>
        <v>8406500</v>
      </c>
      <c r="K17" s="286"/>
      <c r="L17" s="257">
        <f t="shared" si="0"/>
        <v>0</v>
      </c>
      <c r="M17" s="232"/>
      <c r="N17" s="305"/>
      <c r="O17" s="196"/>
      <c r="Q17" s="208"/>
    </row>
    <row r="18" spans="1:21" s="2" customFormat="1" ht="30" customHeight="1" x14ac:dyDescent="0.25">
      <c r="A18" s="234">
        <v>7</v>
      </c>
      <c r="B18" s="306" t="s">
        <v>268</v>
      </c>
      <c r="C18" s="268">
        <f t="shared" si="1"/>
        <v>9.8751099953424895</v>
      </c>
      <c r="D18" s="293">
        <v>0.872</v>
      </c>
      <c r="E18" s="236">
        <f t="shared" si="4"/>
        <v>3749600</v>
      </c>
      <c r="F18" s="261">
        <f t="shared" si="2"/>
        <v>16.039681085041757</v>
      </c>
      <c r="G18" s="294">
        <v>1.1499999999999999</v>
      </c>
      <c r="H18" s="237">
        <f t="shared" si="5"/>
        <v>4945000</v>
      </c>
      <c r="I18" s="259">
        <f t="shared" si="3"/>
        <v>2.0219999999999998</v>
      </c>
      <c r="J18" s="257">
        <f t="shared" si="6"/>
        <v>8694600</v>
      </c>
      <c r="K18" s="286"/>
      <c r="L18" s="257">
        <f t="shared" si="0"/>
        <v>0</v>
      </c>
      <c r="M18" s="232"/>
      <c r="N18" s="305"/>
      <c r="O18" s="244"/>
      <c r="Q18" s="208"/>
    </row>
    <row r="19" spans="1:21" s="2" customFormat="1" ht="30" customHeight="1" x14ac:dyDescent="0.25">
      <c r="A19" s="234">
        <v>8</v>
      </c>
      <c r="B19" s="306" t="s">
        <v>269</v>
      </c>
      <c r="C19" s="268">
        <f t="shared" si="1"/>
        <v>5.8208790568876596</v>
      </c>
      <c r="D19" s="293">
        <v>0.51400000000000001</v>
      </c>
      <c r="E19" s="236">
        <f t="shared" si="4"/>
        <v>2210200</v>
      </c>
      <c r="F19" s="261">
        <f t="shared" si="2"/>
        <v>0</v>
      </c>
      <c r="G19" s="294">
        <v>0</v>
      </c>
      <c r="H19" s="237">
        <f t="shared" si="5"/>
        <v>0</v>
      </c>
      <c r="I19" s="259">
        <f t="shared" si="3"/>
        <v>0.51400000000000001</v>
      </c>
      <c r="J19" s="257">
        <f t="shared" si="6"/>
        <v>2210200</v>
      </c>
      <c r="K19" s="286"/>
      <c r="L19" s="257">
        <f t="shared" si="0"/>
        <v>0</v>
      </c>
      <c r="M19" s="232"/>
      <c r="N19" s="305"/>
      <c r="O19" s="244"/>
      <c r="Q19" s="208"/>
    </row>
    <row r="20" spans="1:21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37970209.969999999</v>
      </c>
      <c r="F20" s="247">
        <f>H20/$H$20*100</f>
        <v>100</v>
      </c>
      <c r="G20" s="295">
        <f>SUM(G12:G19)</f>
        <v>7.1697186116279088</v>
      </c>
      <c r="H20" s="247">
        <f t="shared" ref="H20:L20" si="7">SUM(H12:H19)</f>
        <v>30829790.030000001</v>
      </c>
      <c r="I20" s="310">
        <f t="shared" si="7"/>
        <v>16</v>
      </c>
      <c r="J20" s="256">
        <f>SUM(J12:J19)</f>
        <v>68800000</v>
      </c>
      <c r="K20" s="267">
        <f t="shared" si="7"/>
        <v>0</v>
      </c>
      <c r="L20" s="247">
        <f t="shared" si="7"/>
        <v>0</v>
      </c>
      <c r="M20" s="311"/>
      <c r="N20" s="207"/>
      <c r="O20" s="200"/>
      <c r="Q20" s="208"/>
      <c r="R20" s="276"/>
      <c r="T20" s="3">
        <v>77880000</v>
      </c>
      <c r="U20" s="277">
        <f>T20-J20</f>
        <v>9080000</v>
      </c>
    </row>
    <row r="21" spans="1:21" s="29" customFormat="1" ht="18" customHeight="1" x14ac:dyDescent="0.25">
      <c r="A21" s="262"/>
      <c r="B21" s="263"/>
      <c r="C21" s="263"/>
      <c r="D21" s="263"/>
      <c r="E21" s="263"/>
      <c r="F21" s="264"/>
      <c r="G21" s="264"/>
      <c r="H21" s="253"/>
      <c r="I21" s="264"/>
      <c r="J21" s="253"/>
      <c r="K21" s="253"/>
      <c r="L21" s="253"/>
      <c r="M21" s="232"/>
      <c r="Q21" s="265"/>
    </row>
    <row r="22" spans="1:21" s="29" customFormat="1" ht="18" customHeight="1" x14ac:dyDescent="0.25">
      <c r="A22" s="262"/>
      <c r="B22" s="263"/>
      <c r="C22" s="263"/>
      <c r="D22" s="263"/>
      <c r="E22" s="292">
        <f>E20/J20</f>
        <v>0.55189258677325581</v>
      </c>
      <c r="F22" s="264"/>
      <c r="G22" s="264"/>
      <c r="H22" s="292">
        <f>H20/J20</f>
        <v>0.44810741322674419</v>
      </c>
      <c r="I22" s="264"/>
      <c r="J22" s="253"/>
      <c r="K22" s="253"/>
      <c r="L22" s="253"/>
      <c r="M22" s="232"/>
      <c r="Q22" s="265"/>
    </row>
    <row r="23" spans="1:21" s="29" customFormat="1" ht="18" customHeight="1" x14ac:dyDescent="0.25">
      <c r="A23" s="262"/>
      <c r="B23" s="263"/>
      <c r="C23" s="263"/>
      <c r="D23" s="263"/>
      <c r="E23" s="291">
        <f>E20/100000</f>
        <v>379.70209969999996</v>
      </c>
      <c r="F23" s="327"/>
      <c r="G23" s="327"/>
      <c r="H23" s="327">
        <f>H20/100000</f>
        <v>308.29790030000004</v>
      </c>
      <c r="I23" s="264"/>
      <c r="J23" s="253"/>
      <c r="K23" s="308">
        <f>16-I20</f>
        <v>0</v>
      </c>
      <c r="L23" s="253"/>
      <c r="M23" s="232"/>
      <c r="Q23" s="265"/>
    </row>
    <row r="24" spans="1:21" ht="18" customHeight="1" x14ac:dyDescent="0.25">
      <c r="A24" s="48"/>
      <c r="B24" s="48"/>
      <c r="C24" s="48"/>
      <c r="D24" s="48"/>
      <c r="E24" s="287"/>
      <c r="F24" s="21"/>
      <c r="G24" s="21"/>
      <c r="H24" s="287"/>
      <c r="I24" s="21"/>
      <c r="J24" s="187"/>
      <c r="K24" s="312">
        <f>D13+K23</f>
        <v>0.93903720232558097</v>
      </c>
      <c r="L24" s="279"/>
    </row>
    <row r="25" spans="1:21" ht="18" customHeight="1" x14ac:dyDescent="0.25">
      <c r="A25" s="48"/>
      <c r="B25" s="48"/>
      <c r="C25" s="48"/>
      <c r="D25" s="48"/>
      <c r="E25" s="48"/>
      <c r="F25" s="21"/>
      <c r="G25" s="21"/>
      <c r="H25" s="187"/>
      <c r="I25" s="21"/>
      <c r="J25" s="187"/>
      <c r="L25" s="279"/>
    </row>
    <row r="26" spans="1:21" x14ac:dyDescent="0.25">
      <c r="A26" s="31"/>
      <c r="B26" s="31"/>
      <c r="C26" s="31"/>
      <c r="D26" s="31"/>
      <c r="E26" s="31"/>
    </row>
    <row r="27" spans="1:21" x14ac:dyDescent="0.25">
      <c r="A27" s="31"/>
      <c r="B27" s="31"/>
      <c r="C27" s="31"/>
      <c r="D27" s="31"/>
      <c r="E27" s="31"/>
    </row>
    <row r="28" spans="1:21" ht="15.6" x14ac:dyDescent="0.25">
      <c r="A28" s="31"/>
      <c r="B28" s="1"/>
      <c r="H28" s="1"/>
      <c r="J28" s="1"/>
      <c r="K28" s="1"/>
      <c r="L28" s="1"/>
    </row>
    <row r="29" spans="1:21" ht="26.25" customHeight="1" x14ac:dyDescent="0.25">
      <c r="A29" s="31"/>
      <c r="B29" s="1"/>
      <c r="H29" s="1"/>
      <c r="J29" s="1"/>
      <c r="K29" s="1"/>
      <c r="L29" s="1"/>
    </row>
    <row r="30" spans="1:21" ht="15.6" x14ac:dyDescent="0.25">
      <c r="B30" s="2"/>
      <c r="H30" s="3"/>
      <c r="J30" s="3"/>
      <c r="K30" s="3"/>
      <c r="L30" s="3"/>
    </row>
    <row r="31" spans="1:21" ht="15.6" x14ac:dyDescent="0.25">
      <c r="B31" s="1"/>
      <c r="H31" s="1"/>
      <c r="J31" s="1"/>
      <c r="K31" s="1"/>
      <c r="L31" s="1"/>
    </row>
    <row r="32" spans="1:21" s="24" customFormat="1" ht="15.6" x14ac:dyDescent="0.25">
      <c r="B32" s="4"/>
      <c r="F32" s="32"/>
      <c r="G32" s="32"/>
      <c r="H32" s="4"/>
      <c r="I32" s="32"/>
      <c r="J32" s="4"/>
      <c r="K32" s="4"/>
      <c r="L32" s="4"/>
      <c r="M32" s="232"/>
    </row>
    <row r="33" spans="1:13" s="24" customFormat="1" ht="24" customHeight="1" x14ac:dyDescent="0.25">
      <c r="A33" s="18"/>
      <c r="B33" s="1"/>
      <c r="F33" s="32"/>
      <c r="G33" s="32"/>
      <c r="H33" s="1"/>
      <c r="I33" s="32"/>
      <c r="J33" s="1"/>
      <c r="K33" s="1"/>
      <c r="L33" s="1"/>
      <c r="M33" s="232"/>
    </row>
    <row r="34" spans="1:13" s="24" customFormat="1" x14ac:dyDescent="0.25">
      <c r="A34" s="18"/>
      <c r="B34" s="18"/>
      <c r="C34" s="18"/>
      <c r="D34" s="18"/>
      <c r="E34" s="18"/>
      <c r="F34" s="32"/>
      <c r="G34" s="32"/>
      <c r="I34" s="32"/>
      <c r="M34" s="232"/>
    </row>
    <row r="36" spans="1:13" ht="11.25" customHeight="1" x14ac:dyDescent="0.25"/>
  </sheetData>
  <mergeCells count="6">
    <mergeCell ref="A8:J8"/>
    <mergeCell ref="A10:A11"/>
    <mergeCell ref="B10:B11"/>
    <mergeCell ref="C10:E10"/>
    <mergeCell ref="F10:H10"/>
    <mergeCell ref="I10:J10"/>
  </mergeCells>
  <pageMargins left="0.7" right="0.7" top="0.75" bottom="0.75" header="0.3" footer="0.3"/>
  <pageSetup paperSize="9" scale="6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4" zoomScaleNormal="100" workbookViewId="0">
      <selection activeCell="K8" sqref="K8"/>
    </sheetView>
  </sheetViews>
  <sheetFormatPr defaultRowHeight="13.2" x14ac:dyDescent="0.25"/>
  <cols>
    <col min="1" max="1" width="4.5546875" bestFit="1" customWidth="1"/>
    <col min="2" max="2" width="15.33203125" customWidth="1"/>
    <col min="3" max="5" width="12.109375" customWidth="1"/>
    <col min="6" max="6" width="15.33203125" customWidth="1"/>
    <col min="7" max="7" width="13.33203125" customWidth="1"/>
    <col min="8" max="8" width="12.44140625" customWidth="1"/>
  </cols>
  <sheetData>
    <row r="3" spans="1:8" ht="22.8" x14ac:dyDescent="0.4">
      <c r="A3" s="427" t="s">
        <v>295</v>
      </c>
      <c r="B3" s="427"/>
      <c r="C3" s="427"/>
      <c r="D3" s="427"/>
      <c r="E3" s="427"/>
      <c r="F3" s="427"/>
      <c r="G3" s="427"/>
      <c r="H3" s="427"/>
    </row>
    <row r="4" spans="1:8" ht="24" customHeight="1" thickBot="1" x14ac:dyDescent="0.3"/>
    <row r="5" spans="1:8" ht="24.9" customHeight="1" x14ac:dyDescent="0.25">
      <c r="A5" s="408" t="s">
        <v>76</v>
      </c>
      <c r="B5" s="428" t="s">
        <v>115</v>
      </c>
      <c r="C5" s="430" t="s">
        <v>293</v>
      </c>
      <c r="D5" s="431"/>
      <c r="E5" s="432"/>
      <c r="F5" s="430" t="s">
        <v>294</v>
      </c>
      <c r="G5" s="431"/>
      <c r="H5" s="432"/>
    </row>
    <row r="6" spans="1:8" ht="24.9" customHeight="1" x14ac:dyDescent="0.25">
      <c r="A6" s="409"/>
      <c r="B6" s="429"/>
      <c r="C6" s="318" t="s">
        <v>270</v>
      </c>
      <c r="D6" s="230" t="s">
        <v>271</v>
      </c>
      <c r="E6" s="319" t="s">
        <v>40</v>
      </c>
      <c r="F6" s="318" t="s">
        <v>270</v>
      </c>
      <c r="G6" s="230" t="s">
        <v>271</v>
      </c>
      <c r="H6" s="319" t="s">
        <v>40</v>
      </c>
    </row>
    <row r="7" spans="1:8" ht="24.9" customHeight="1" x14ac:dyDescent="0.25">
      <c r="A7" s="234">
        <v>1</v>
      </c>
      <c r="B7" s="316" t="s">
        <v>79</v>
      </c>
      <c r="C7" s="325">
        <v>1.3660000000000001</v>
      </c>
      <c r="D7" s="293">
        <v>1.17</v>
      </c>
      <c r="E7" s="321">
        <f t="shared" ref="E7:E14" si="0">C7+D7</f>
        <v>2.536</v>
      </c>
      <c r="F7" s="320">
        <v>1.1874999999999998</v>
      </c>
      <c r="G7" s="313">
        <v>1.1418721000000003</v>
      </c>
      <c r="H7" s="321">
        <f t="shared" ref="H7:H14" si="1">F7+G7</f>
        <v>2.3293721000000001</v>
      </c>
    </row>
    <row r="8" spans="1:8" ht="24.9" customHeight="1" x14ac:dyDescent="0.25">
      <c r="A8" s="234">
        <v>2</v>
      </c>
      <c r="B8" s="316" t="s">
        <v>80</v>
      </c>
      <c r="C8" s="325">
        <v>1.018</v>
      </c>
      <c r="D8" s="293">
        <v>0.51500000000000001</v>
      </c>
      <c r="E8" s="321">
        <f t="shared" si="0"/>
        <v>1.5329999999999999</v>
      </c>
      <c r="F8" s="320">
        <v>0.93903720232558097</v>
      </c>
      <c r="G8" s="313">
        <v>0.46799999999999992</v>
      </c>
      <c r="H8" s="321">
        <f t="shared" si="1"/>
        <v>1.4070372023255808</v>
      </c>
    </row>
    <row r="9" spans="1:8" ht="24.9" customHeight="1" x14ac:dyDescent="0.25">
      <c r="A9" s="234">
        <v>3</v>
      </c>
      <c r="B9" s="316" t="s">
        <v>81</v>
      </c>
      <c r="C9" s="325">
        <v>1.369</v>
      </c>
      <c r="D9" s="293">
        <v>1.04</v>
      </c>
      <c r="E9" s="321">
        <f t="shared" si="0"/>
        <v>2.4089999999999998</v>
      </c>
      <c r="F9" s="320">
        <v>1.369</v>
      </c>
      <c r="G9" s="313">
        <v>1.04</v>
      </c>
      <c r="H9" s="321">
        <f t="shared" si="1"/>
        <v>2.4089999999999998</v>
      </c>
    </row>
    <row r="10" spans="1:8" ht="24.9" customHeight="1" x14ac:dyDescent="0.25">
      <c r="A10" s="234">
        <v>4</v>
      </c>
      <c r="B10" s="316" t="s">
        <v>82</v>
      </c>
      <c r="C10" s="325">
        <v>1.929</v>
      </c>
      <c r="D10" s="293">
        <v>1.1279999999999999</v>
      </c>
      <c r="E10" s="321">
        <f t="shared" si="0"/>
        <v>3.0569999999999999</v>
      </c>
      <c r="F10" s="320">
        <v>1.6740697674418603</v>
      </c>
      <c r="G10" s="313">
        <v>1.1283116279069769</v>
      </c>
      <c r="H10" s="321">
        <f t="shared" si="1"/>
        <v>2.8023813953488372</v>
      </c>
    </row>
    <row r="11" spans="1:8" ht="24.9" customHeight="1" x14ac:dyDescent="0.25">
      <c r="A11" s="234">
        <v>5</v>
      </c>
      <c r="B11" s="316" t="s">
        <v>83</v>
      </c>
      <c r="C11" s="325">
        <v>1.456</v>
      </c>
      <c r="D11" s="293">
        <v>1.218</v>
      </c>
      <c r="E11" s="321">
        <f t="shared" si="0"/>
        <v>2.6739999999999999</v>
      </c>
      <c r="F11" s="320">
        <v>1.2196744186046511</v>
      </c>
      <c r="G11" s="313">
        <v>1.3415348837209304</v>
      </c>
      <c r="H11" s="321">
        <f t="shared" si="1"/>
        <v>2.5612093023255813</v>
      </c>
    </row>
    <row r="12" spans="1:8" ht="24.9" customHeight="1" x14ac:dyDescent="0.25">
      <c r="A12" s="234">
        <v>6</v>
      </c>
      <c r="B12" s="317" t="s">
        <v>84</v>
      </c>
      <c r="C12" s="325">
        <v>1.0549999999999999</v>
      </c>
      <c r="D12" s="293">
        <v>0.9</v>
      </c>
      <c r="E12" s="321">
        <f t="shared" si="0"/>
        <v>1.9550000000000001</v>
      </c>
      <c r="F12" s="322">
        <v>1.0549999999999999</v>
      </c>
      <c r="G12" s="314">
        <v>0.9</v>
      </c>
      <c r="H12" s="321">
        <f t="shared" si="1"/>
        <v>1.9550000000000001</v>
      </c>
    </row>
    <row r="13" spans="1:8" ht="24.9" customHeight="1" x14ac:dyDescent="0.25">
      <c r="A13" s="234">
        <v>7</v>
      </c>
      <c r="B13" s="316" t="s">
        <v>268</v>
      </c>
      <c r="C13" s="325">
        <v>0.872</v>
      </c>
      <c r="D13" s="293">
        <v>1.1499999999999999</v>
      </c>
      <c r="E13" s="321">
        <f t="shared" si="0"/>
        <v>2.0219999999999998</v>
      </c>
      <c r="F13" s="322">
        <v>0.872</v>
      </c>
      <c r="G13" s="314">
        <v>1.1499999999999999</v>
      </c>
      <c r="H13" s="321">
        <f t="shared" si="1"/>
        <v>2.0219999999999998</v>
      </c>
    </row>
    <row r="14" spans="1:8" ht="24.9" customHeight="1" x14ac:dyDescent="0.25">
      <c r="A14" s="234">
        <v>8</v>
      </c>
      <c r="B14" s="316" t="s">
        <v>269</v>
      </c>
      <c r="C14" s="325">
        <v>0.51400000000000001</v>
      </c>
      <c r="D14" s="293">
        <v>0</v>
      </c>
      <c r="E14" s="321">
        <f t="shared" si="0"/>
        <v>0.51400000000000001</v>
      </c>
      <c r="F14" s="322">
        <v>0.51400000000000001</v>
      </c>
      <c r="G14" s="314">
        <v>0</v>
      </c>
      <c r="H14" s="321">
        <f t="shared" si="1"/>
        <v>0.51400000000000001</v>
      </c>
    </row>
    <row r="15" spans="1:8" ht="24.9" customHeight="1" thickBot="1" x14ac:dyDescent="0.3">
      <c r="A15" s="245"/>
      <c r="B15" s="315" t="s">
        <v>112</v>
      </c>
      <c r="C15" s="323">
        <f>SUM(C7:C14)</f>
        <v>9.5789999999999988</v>
      </c>
      <c r="D15" s="324">
        <f t="shared" ref="D15" si="2">SUM(D7:D14)</f>
        <v>7.1210000000000004</v>
      </c>
      <c r="E15" s="326">
        <f>SUM(E7:E14)</f>
        <v>16.7</v>
      </c>
      <c r="F15" s="323">
        <f>SUM(F7:F14)</f>
        <v>8.8302813883720912</v>
      </c>
      <c r="G15" s="324">
        <f t="shared" ref="G15" si="3">SUM(G7:G14)</f>
        <v>7.1697186116279088</v>
      </c>
      <c r="H15" s="326">
        <f>SUM(H7:H14)</f>
        <v>15.999999999999998</v>
      </c>
    </row>
  </sheetData>
  <mergeCells count="5">
    <mergeCell ref="A3:H3"/>
    <mergeCell ref="A5:A6"/>
    <mergeCell ref="B5:B6"/>
    <mergeCell ref="C5:E5"/>
    <mergeCell ref="F5:H5"/>
  </mergeCells>
  <pageMargins left="0.7" right="0.7" top="0.75" bottom="0.75" header="0.3" footer="0.3"/>
  <pageSetup paperSize="9" scale="91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U36"/>
  <sheetViews>
    <sheetView view="pageBreakPreview" topLeftCell="A12" zoomScale="85" zoomScaleNormal="85" zoomScaleSheetLayoutView="85" workbookViewId="0">
      <selection activeCell="H13" sqref="H1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6" width="16.109375" style="30" hidden="1" customWidth="1"/>
    <col min="7" max="7" width="16.109375" style="30" customWidth="1"/>
    <col min="8" max="8" width="18.5546875" style="17" customWidth="1"/>
    <col min="9" max="9" width="16.109375" style="30" customWidth="1"/>
    <col min="10" max="10" width="18.5546875" style="17" customWidth="1"/>
    <col min="11" max="11" width="19" style="17" customWidth="1"/>
    <col min="12" max="12" width="18.5546875" style="17" customWidth="1"/>
    <col min="13" max="13" width="22" style="232" customWidth="1"/>
    <col min="14" max="14" width="14.88671875" style="17" customWidth="1"/>
    <col min="15" max="15" width="15" style="17" customWidth="1"/>
    <col min="16" max="16" width="7" style="17" customWidth="1"/>
    <col min="17" max="17" width="15" style="17" customWidth="1"/>
    <col min="18" max="18" width="11.44140625" style="17" customWidth="1"/>
    <col min="19" max="19" width="7" style="17"/>
    <col min="20" max="20" width="18.109375" style="17" customWidth="1"/>
    <col min="21" max="16384" width="7" style="17"/>
  </cols>
  <sheetData>
    <row r="3" spans="1:17" ht="9.75" customHeight="1" x14ac:dyDescent="0.25">
      <c r="A3" s="15"/>
      <c r="B3" s="15"/>
      <c r="C3" s="15"/>
      <c r="D3" s="15"/>
      <c r="E3" s="15"/>
      <c r="F3" s="16"/>
      <c r="G3" s="16"/>
      <c r="H3" s="15"/>
      <c r="I3" s="16"/>
      <c r="J3" s="15"/>
      <c r="K3" s="15"/>
      <c r="L3" s="15"/>
    </row>
    <row r="4" spans="1:17" ht="9.75" customHeight="1" x14ac:dyDescent="0.25">
      <c r="A4" s="15"/>
      <c r="B4" s="15"/>
      <c r="C4" s="15"/>
      <c r="D4" s="15"/>
      <c r="E4" s="15"/>
      <c r="F4" s="16"/>
      <c r="G4" s="16"/>
      <c r="H4" s="15"/>
      <c r="I4" s="16"/>
      <c r="J4" s="15"/>
      <c r="K4" s="15"/>
      <c r="L4" s="15"/>
    </row>
    <row r="5" spans="1:17" ht="9.75" customHeight="1" x14ac:dyDescent="0.25">
      <c r="A5" s="15"/>
      <c r="B5" s="15"/>
      <c r="C5" s="15"/>
      <c r="D5" s="15"/>
      <c r="E5" s="15"/>
      <c r="F5" s="16"/>
      <c r="G5" s="16"/>
      <c r="H5" s="15"/>
      <c r="I5" s="16"/>
      <c r="J5" s="15"/>
      <c r="K5" s="15"/>
      <c r="L5" s="15"/>
    </row>
    <row r="6" spans="1:17" ht="9.75" customHeight="1" x14ac:dyDescent="0.25">
      <c r="A6" s="15"/>
      <c r="B6" s="15"/>
      <c r="C6" s="15"/>
      <c r="D6" s="15"/>
      <c r="E6" s="15"/>
      <c r="F6" s="16"/>
      <c r="G6" s="16"/>
      <c r="H6" s="15"/>
      <c r="I6" s="16"/>
      <c r="J6" s="15"/>
      <c r="K6" s="15"/>
      <c r="L6" s="15"/>
    </row>
    <row r="7" spans="1:17" ht="12.75" customHeight="1" x14ac:dyDescent="0.25">
      <c r="A7" s="15"/>
      <c r="B7" s="15"/>
      <c r="C7" s="15"/>
      <c r="D7" s="15"/>
      <c r="E7" s="15"/>
      <c r="F7" s="16"/>
      <c r="G7" s="16"/>
      <c r="H7" s="15"/>
      <c r="I7" s="16"/>
      <c r="J7" s="15"/>
      <c r="K7" s="15"/>
      <c r="L7" s="15"/>
    </row>
    <row r="8" spans="1:17" ht="23.25" customHeight="1" thickBot="1" x14ac:dyDescent="0.3">
      <c r="A8" s="407" t="s">
        <v>289</v>
      </c>
      <c r="B8" s="407"/>
      <c r="C8" s="407"/>
      <c r="D8" s="407"/>
      <c r="E8" s="407"/>
      <c r="F8" s="407"/>
      <c r="G8" s="407"/>
      <c r="H8" s="407"/>
      <c r="I8" s="407"/>
      <c r="J8" s="407"/>
      <c r="K8" s="258"/>
      <c r="L8" s="258"/>
    </row>
    <row r="9" spans="1:17" s="20" customFormat="1" ht="21.75" customHeight="1" x14ac:dyDescent="0.25">
      <c r="F9" s="21"/>
      <c r="G9" s="21"/>
      <c r="I9" s="21"/>
      <c r="M9" s="232"/>
      <c r="N9" s="202" t="s">
        <v>260</v>
      </c>
      <c r="O9" s="228">
        <v>430000000</v>
      </c>
    </row>
    <row r="10" spans="1:17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11"/>
      <c r="F10" s="412" t="s">
        <v>271</v>
      </c>
      <c r="G10" s="426"/>
      <c r="H10" s="413"/>
      <c r="I10" s="414" t="s">
        <v>40</v>
      </c>
      <c r="J10" s="414"/>
      <c r="K10" s="230"/>
      <c r="L10" s="230"/>
      <c r="M10" s="232"/>
      <c r="O10" s="204" t="s">
        <v>261</v>
      </c>
      <c r="Q10" s="208"/>
    </row>
    <row r="11" spans="1:17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96" t="s">
        <v>77</v>
      </c>
      <c r="G11" s="230" t="s">
        <v>290</v>
      </c>
      <c r="H11" s="230" t="s">
        <v>78</v>
      </c>
      <c r="I11" s="230" t="s">
        <v>77</v>
      </c>
      <c r="J11" s="230" t="s">
        <v>78</v>
      </c>
      <c r="K11" s="230" t="s">
        <v>273</v>
      </c>
      <c r="L11" s="230" t="s">
        <v>261</v>
      </c>
      <c r="M11" s="232"/>
      <c r="O11" s="233"/>
      <c r="Q11" s="208"/>
    </row>
    <row r="12" spans="1:17" s="2" customFormat="1" ht="30" customHeight="1" x14ac:dyDescent="0.25">
      <c r="A12" s="234">
        <v>1</v>
      </c>
      <c r="B12" s="235" t="s">
        <v>79</v>
      </c>
      <c r="C12" s="268">
        <f>E12/$E$20*100</f>
        <v>14.238065457577651</v>
      </c>
      <c r="D12" s="293">
        <v>1.3659999999999999</v>
      </c>
      <c r="E12" s="236">
        <f>(D12/100)*$O$9</f>
        <v>5873799.9999999991</v>
      </c>
      <c r="F12" s="261">
        <f>H12/$H$20*100</f>
        <v>16.464959189417392</v>
      </c>
      <c r="G12" s="294">
        <v>1.17</v>
      </c>
      <c r="H12" s="237">
        <f>(G12/100)*$O$9</f>
        <v>5030999.9999999991</v>
      </c>
      <c r="I12" s="259">
        <f>J12/$O$9*100</f>
        <v>2.5359999999999996</v>
      </c>
      <c r="J12" s="257">
        <f t="shared" ref="J12:J19" si="0">E12+H12</f>
        <v>10904799.999999998</v>
      </c>
      <c r="K12" s="266"/>
      <c r="L12" s="257">
        <f t="shared" ref="L12:L19" si="1">K12/100*$O$9</f>
        <v>0</v>
      </c>
      <c r="M12" s="232"/>
      <c r="N12" s="206"/>
      <c r="O12" s="196"/>
      <c r="Q12" s="208"/>
    </row>
    <row r="13" spans="1:17" s="2" customFormat="1" ht="30" customHeight="1" x14ac:dyDescent="0.25">
      <c r="A13" s="234">
        <v>2</v>
      </c>
      <c r="B13" s="235" t="s">
        <v>80</v>
      </c>
      <c r="C13" s="268">
        <f t="shared" ref="C13:C19" si="2">E13/$E$20*100</f>
        <v>10.767146132999789</v>
      </c>
      <c r="D13" s="293">
        <v>1.0329999999999999</v>
      </c>
      <c r="E13" s="297">
        <f t="shared" ref="E13:E19" si="3">(D13/100)*$O$9</f>
        <v>4441899.9999999991</v>
      </c>
      <c r="F13" s="261">
        <f t="shared" ref="F13:F19" si="4">H13/$H$20*100</f>
        <v>7.0363073459048682</v>
      </c>
      <c r="G13" s="294">
        <v>0.5</v>
      </c>
      <c r="H13" s="298">
        <f t="shared" ref="H13:H19" si="5">(G13/100)*$O$9</f>
        <v>2150000</v>
      </c>
      <c r="I13" s="259">
        <f t="shared" ref="I13:I19" si="6">J13/$O$9*100</f>
        <v>1.5329999999999999</v>
      </c>
      <c r="J13" s="257">
        <f t="shared" si="0"/>
        <v>6591899.9999999991</v>
      </c>
      <c r="K13" s="266"/>
      <c r="L13" s="257">
        <f t="shared" si="1"/>
        <v>0</v>
      </c>
      <c r="M13" s="232"/>
      <c r="N13" s="206"/>
      <c r="O13" s="196"/>
      <c r="Q13" s="208"/>
    </row>
    <row r="14" spans="1:17" s="2" customFormat="1" ht="30" customHeight="1" x14ac:dyDescent="0.25">
      <c r="A14" s="234">
        <v>3</v>
      </c>
      <c r="B14" s="235" t="s">
        <v>81</v>
      </c>
      <c r="C14" s="268">
        <f t="shared" si="2"/>
        <v>14.269335001042318</v>
      </c>
      <c r="D14" s="293">
        <v>1.369</v>
      </c>
      <c r="E14" s="236">
        <f t="shared" si="3"/>
        <v>5886700</v>
      </c>
      <c r="F14" s="261">
        <f t="shared" si="4"/>
        <v>14.635519279482128</v>
      </c>
      <c r="G14" s="294">
        <v>1.04</v>
      </c>
      <c r="H14" s="237">
        <f t="shared" si="5"/>
        <v>4472000</v>
      </c>
      <c r="I14" s="259">
        <f t="shared" si="6"/>
        <v>2.4089999999999998</v>
      </c>
      <c r="J14" s="257">
        <f t="shared" si="0"/>
        <v>10358700</v>
      </c>
      <c r="K14" s="266"/>
      <c r="L14" s="257">
        <f t="shared" si="1"/>
        <v>0</v>
      </c>
      <c r="M14" s="232"/>
      <c r="N14" s="206"/>
      <c r="O14" s="196"/>
      <c r="Q14" s="208"/>
    </row>
    <row r="15" spans="1:17" s="2" customFormat="1" ht="30" customHeight="1" x14ac:dyDescent="0.25">
      <c r="A15" s="234">
        <v>4</v>
      </c>
      <c r="B15" s="235" t="s">
        <v>82</v>
      </c>
      <c r="C15" s="268">
        <f>E15/$E$20*100</f>
        <v>20.106316447779864</v>
      </c>
      <c r="D15" s="293">
        <v>1.929</v>
      </c>
      <c r="E15" s="297">
        <f t="shared" si="3"/>
        <v>8294700.0000000009</v>
      </c>
      <c r="F15" s="261">
        <f t="shared" si="4"/>
        <v>15.87390937236138</v>
      </c>
      <c r="G15" s="294">
        <v>1.1279999999999999</v>
      </c>
      <c r="H15" s="298">
        <f t="shared" si="5"/>
        <v>4850399.9999999991</v>
      </c>
      <c r="I15" s="299">
        <f t="shared" si="6"/>
        <v>3.0569999999999999</v>
      </c>
      <c r="J15" s="257">
        <f t="shared" si="0"/>
        <v>13145100</v>
      </c>
      <c r="K15" s="266"/>
      <c r="L15" s="257">
        <f t="shared" si="1"/>
        <v>0</v>
      </c>
      <c r="M15" s="232"/>
      <c r="N15" s="206"/>
      <c r="O15" s="196"/>
      <c r="Q15" s="208"/>
    </row>
    <row r="16" spans="1:17" s="2" customFormat="1" ht="30" customHeight="1" x14ac:dyDescent="0.25">
      <c r="A16" s="234">
        <v>5</v>
      </c>
      <c r="B16" s="235" t="s">
        <v>83</v>
      </c>
      <c r="C16" s="268">
        <f t="shared" si="2"/>
        <v>15.176151761517614</v>
      </c>
      <c r="D16" s="293">
        <v>1.456</v>
      </c>
      <c r="E16" s="297">
        <f t="shared" si="3"/>
        <v>6260800</v>
      </c>
      <c r="F16" s="261">
        <f t="shared" si="4"/>
        <v>17.140444694624261</v>
      </c>
      <c r="G16" s="294">
        <v>1.218</v>
      </c>
      <c r="H16" s="298">
        <f t="shared" si="5"/>
        <v>5237400</v>
      </c>
      <c r="I16" s="299">
        <f t="shared" si="6"/>
        <v>2.6739999999999999</v>
      </c>
      <c r="J16" s="257">
        <f t="shared" si="0"/>
        <v>11498200</v>
      </c>
      <c r="K16" s="266"/>
      <c r="L16" s="257">
        <f t="shared" si="1"/>
        <v>0</v>
      </c>
      <c r="M16" s="232"/>
      <c r="N16" s="206"/>
      <c r="O16" s="196"/>
      <c r="Q16" s="208"/>
    </row>
    <row r="17" spans="1:21" s="2" customFormat="1" ht="30" customHeight="1" x14ac:dyDescent="0.25">
      <c r="A17" s="234">
        <v>6</v>
      </c>
      <c r="B17" s="235" t="s">
        <v>84</v>
      </c>
      <c r="C17" s="268">
        <f t="shared" si="2"/>
        <v>10.996456118407339</v>
      </c>
      <c r="D17" s="293">
        <v>1.0550000000000002</v>
      </c>
      <c r="E17" s="236">
        <f t="shared" si="3"/>
        <v>4536500.0000000009</v>
      </c>
      <c r="F17" s="261">
        <f t="shared" si="4"/>
        <v>12.665353222628767</v>
      </c>
      <c r="G17" s="294">
        <v>0.90000000000000013</v>
      </c>
      <c r="H17" s="237">
        <f t="shared" si="5"/>
        <v>3870000.0000000005</v>
      </c>
      <c r="I17" s="259">
        <f t="shared" si="6"/>
        <v>1.9550000000000005</v>
      </c>
      <c r="J17" s="257">
        <f t="shared" si="0"/>
        <v>8406500.0000000019</v>
      </c>
      <c r="K17" s="266"/>
      <c r="L17" s="257">
        <f t="shared" si="1"/>
        <v>0</v>
      </c>
      <c r="M17" s="232"/>
      <c r="N17" s="206"/>
      <c r="O17" s="196"/>
      <c r="Q17" s="208"/>
    </row>
    <row r="18" spans="1:21" s="2" customFormat="1" ht="30" customHeight="1" x14ac:dyDescent="0.25">
      <c r="A18" s="234">
        <v>7</v>
      </c>
      <c r="B18" s="235" t="s">
        <v>268</v>
      </c>
      <c r="C18" s="268">
        <f t="shared" si="2"/>
        <v>9.0890139670627459</v>
      </c>
      <c r="D18" s="293">
        <v>0.87199999999999989</v>
      </c>
      <c r="E18" s="236">
        <f t="shared" si="3"/>
        <v>3749599.9999999995</v>
      </c>
      <c r="F18" s="261">
        <f t="shared" si="4"/>
        <v>16.1835068955812</v>
      </c>
      <c r="G18" s="294">
        <v>1.1499999999999999</v>
      </c>
      <c r="H18" s="237">
        <f t="shared" si="5"/>
        <v>4945000</v>
      </c>
      <c r="I18" s="259">
        <f t="shared" si="6"/>
        <v>2.0219999999999998</v>
      </c>
      <c r="J18" s="257">
        <f t="shared" si="0"/>
        <v>8694600</v>
      </c>
      <c r="K18" s="266"/>
      <c r="L18" s="257">
        <f t="shared" si="1"/>
        <v>0</v>
      </c>
      <c r="M18" s="232"/>
      <c r="N18" s="243"/>
      <c r="O18" s="244"/>
      <c r="Q18" s="208"/>
    </row>
    <row r="19" spans="1:21" s="2" customFormat="1" ht="30" customHeight="1" x14ac:dyDescent="0.25">
      <c r="A19" s="234">
        <v>8</v>
      </c>
      <c r="B19" s="235" t="s">
        <v>269</v>
      </c>
      <c r="C19" s="268">
        <f t="shared" si="2"/>
        <v>5.3575151136126742</v>
      </c>
      <c r="D19" s="293">
        <v>0.51400000000000001</v>
      </c>
      <c r="E19" s="236">
        <f t="shared" si="3"/>
        <v>2210200</v>
      </c>
      <c r="F19" s="261">
        <f t="shared" si="4"/>
        <v>0</v>
      </c>
      <c r="G19" s="294">
        <v>0</v>
      </c>
      <c r="H19" s="237">
        <f t="shared" si="5"/>
        <v>0</v>
      </c>
      <c r="I19" s="259">
        <f t="shared" si="6"/>
        <v>0.51400000000000001</v>
      </c>
      <c r="J19" s="257">
        <f t="shared" si="0"/>
        <v>2210200</v>
      </c>
      <c r="K19" s="266"/>
      <c r="L19" s="257">
        <f t="shared" si="1"/>
        <v>0</v>
      </c>
      <c r="M19" s="232"/>
      <c r="N19" s="243"/>
      <c r="O19" s="244"/>
      <c r="Q19" s="208"/>
    </row>
    <row r="20" spans="1:21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9.5939999999999994</v>
      </c>
      <c r="E20" s="247">
        <f>SUM(E12:E19)</f>
        <v>41254200</v>
      </c>
      <c r="F20" s="247">
        <f>H20/$H$20*100</f>
        <v>100</v>
      </c>
      <c r="G20" s="295">
        <f t="shared" ref="G20:L20" si="7">SUM(G12:G19)</f>
        <v>7.1059999999999999</v>
      </c>
      <c r="H20" s="247">
        <f t="shared" si="7"/>
        <v>30555800</v>
      </c>
      <c r="I20" s="260">
        <f t="shared" si="7"/>
        <v>16.699999999999996</v>
      </c>
      <c r="J20" s="256">
        <f t="shared" si="7"/>
        <v>71810000</v>
      </c>
      <c r="K20" s="267">
        <f t="shared" si="7"/>
        <v>0</v>
      </c>
      <c r="L20" s="247">
        <f t="shared" si="7"/>
        <v>0</v>
      </c>
      <c r="M20" s="232"/>
      <c r="N20" s="207"/>
      <c r="O20" s="200"/>
      <c r="Q20" s="208"/>
      <c r="R20" s="276"/>
      <c r="T20" s="3">
        <v>77880000</v>
      </c>
      <c r="U20" s="277">
        <f>T20-J20</f>
        <v>6070000</v>
      </c>
    </row>
    <row r="21" spans="1:21" s="29" customFormat="1" ht="18" customHeight="1" x14ac:dyDescent="0.25">
      <c r="A21" s="262"/>
      <c r="B21" s="263"/>
      <c r="C21" s="263"/>
      <c r="D21" s="263"/>
      <c r="E21" s="263"/>
      <c r="F21" s="264"/>
      <c r="G21" s="264"/>
      <c r="H21" s="253"/>
      <c r="I21" s="264"/>
      <c r="J21" s="253"/>
      <c r="K21" s="253"/>
      <c r="L21" s="253"/>
      <c r="M21" s="232"/>
      <c r="Q21" s="265"/>
    </row>
    <row r="22" spans="1:21" s="29" customFormat="1" ht="18" customHeight="1" x14ac:dyDescent="0.25">
      <c r="A22" s="262"/>
      <c r="B22" s="263"/>
      <c r="C22" s="263"/>
      <c r="D22" s="263"/>
      <c r="E22" s="292">
        <f>E20/J20</f>
        <v>0.57449101796407187</v>
      </c>
      <c r="F22" s="264"/>
      <c r="G22" s="264"/>
      <c r="H22" s="292">
        <f>H20/J20</f>
        <v>0.42550898203592813</v>
      </c>
      <c r="I22" s="264"/>
      <c r="J22" s="253"/>
      <c r="K22" s="253"/>
      <c r="L22" s="253"/>
      <c r="M22" s="232"/>
      <c r="Q22" s="265"/>
    </row>
    <row r="23" spans="1:21" s="29" customFormat="1" ht="18" customHeight="1" x14ac:dyDescent="0.25">
      <c r="A23" s="262"/>
      <c r="B23" s="263"/>
      <c r="C23" s="263"/>
      <c r="D23" s="263"/>
      <c r="E23" s="291">
        <f>E20/100000</f>
        <v>412.54199999999997</v>
      </c>
      <c r="F23" s="264"/>
      <c r="G23" s="264"/>
      <c r="H23" s="253">
        <f>H20/100000</f>
        <v>305.55799999999999</v>
      </c>
      <c r="I23" s="264"/>
      <c r="J23" s="253"/>
      <c r="K23" s="253"/>
      <c r="L23" s="253"/>
      <c r="M23" s="232"/>
      <c r="Q23" s="265"/>
    </row>
    <row r="24" spans="1:21" ht="18" customHeight="1" x14ac:dyDescent="0.25">
      <c r="A24" s="48"/>
      <c r="B24" s="48"/>
      <c r="C24" s="48"/>
      <c r="D24" s="48"/>
      <c r="E24" s="287"/>
      <c r="F24" s="21"/>
      <c r="G24" s="21"/>
      <c r="H24" s="287"/>
      <c r="I24" s="21"/>
      <c r="J24" s="187"/>
      <c r="K24" s="187"/>
      <c r="L24" s="279"/>
    </row>
    <row r="25" spans="1:21" ht="18" customHeight="1" x14ac:dyDescent="0.25">
      <c r="A25" s="48"/>
      <c r="B25" s="48"/>
      <c r="C25" s="48"/>
      <c r="D25" s="48"/>
      <c r="E25" s="48"/>
      <c r="F25" s="21"/>
      <c r="G25" s="21"/>
      <c r="H25" s="187"/>
      <c r="I25" s="21"/>
      <c r="J25" s="187"/>
      <c r="L25" s="279"/>
    </row>
    <row r="26" spans="1:21" x14ac:dyDescent="0.25">
      <c r="A26" s="31"/>
      <c r="B26" s="31"/>
      <c r="C26" s="31"/>
      <c r="D26" s="31"/>
      <c r="E26" s="31"/>
    </row>
    <row r="27" spans="1:21" x14ac:dyDescent="0.25">
      <c r="A27" s="31"/>
      <c r="B27" s="31"/>
      <c r="C27" s="31"/>
      <c r="D27" s="31"/>
      <c r="E27" s="31"/>
    </row>
    <row r="28" spans="1:21" ht="15.6" x14ac:dyDescent="0.25">
      <c r="A28" s="31"/>
      <c r="B28" s="1"/>
      <c r="H28" s="1"/>
      <c r="J28" s="1"/>
      <c r="K28" s="1"/>
      <c r="L28" s="1"/>
    </row>
    <row r="29" spans="1:21" ht="26.25" customHeight="1" x14ac:dyDescent="0.25">
      <c r="A29" s="31"/>
      <c r="B29" s="1"/>
      <c r="H29" s="1"/>
      <c r="J29" s="1"/>
      <c r="K29" s="1"/>
      <c r="L29" s="1"/>
    </row>
    <row r="30" spans="1:21" ht="15.6" x14ac:dyDescent="0.25">
      <c r="B30" s="2"/>
      <c r="H30" s="3"/>
      <c r="J30" s="3"/>
      <c r="K30" s="3"/>
      <c r="L30" s="3"/>
    </row>
    <row r="31" spans="1:21" ht="15.6" x14ac:dyDescent="0.25">
      <c r="B31" s="1"/>
      <c r="H31" s="1"/>
      <c r="J31" s="1"/>
      <c r="K31" s="1"/>
      <c r="L31" s="1"/>
    </row>
    <row r="32" spans="1:21" s="24" customFormat="1" ht="15.6" x14ac:dyDescent="0.25">
      <c r="B32" s="4"/>
      <c r="F32" s="32"/>
      <c r="G32" s="32"/>
      <c r="H32" s="4"/>
      <c r="I32" s="32"/>
      <c r="J32" s="4"/>
      <c r="K32" s="4"/>
      <c r="L32" s="4"/>
      <c r="M32" s="232"/>
    </row>
    <row r="33" spans="1:13" s="24" customFormat="1" ht="24" customHeight="1" x14ac:dyDescent="0.25">
      <c r="A33" s="18"/>
      <c r="B33" s="1"/>
      <c r="F33" s="32"/>
      <c r="G33" s="32"/>
      <c r="H33" s="1"/>
      <c r="I33" s="32"/>
      <c r="J33" s="1"/>
      <c r="K33" s="1"/>
      <c r="L33" s="1"/>
      <c r="M33" s="232"/>
    </row>
    <row r="34" spans="1:13" s="24" customFormat="1" x14ac:dyDescent="0.25">
      <c r="A34" s="18"/>
      <c r="B34" s="18"/>
      <c r="C34" s="18"/>
      <c r="D34" s="18"/>
      <c r="E34" s="18"/>
      <c r="F34" s="32"/>
      <c r="G34" s="32"/>
      <c r="I34" s="32"/>
      <c r="M34" s="232"/>
    </row>
    <row r="36" spans="1:13" ht="11.25" customHeight="1" x14ac:dyDescent="0.25"/>
  </sheetData>
  <mergeCells count="6">
    <mergeCell ref="A8:J8"/>
    <mergeCell ref="A10:A11"/>
    <mergeCell ref="B10:B11"/>
    <mergeCell ref="C10:E10"/>
    <mergeCell ref="F10:H10"/>
    <mergeCell ref="I10:J10"/>
  </mergeCells>
  <pageMargins left="0.7" right="0.7" top="0.75" bottom="0.75" header="0.3" footer="0.3"/>
  <pageSetup paperSize="9" scale="71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7" zoomScale="85" zoomScaleNormal="85" zoomScaleSheetLayoutView="85" workbookViewId="0">
      <selection activeCell="G12" sqref="G12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customWidth="1"/>
    <col min="14" max="16" width="12.88671875" style="17" customWidth="1"/>
    <col min="17" max="17" width="10.5546875" style="17" customWidth="1"/>
    <col min="18" max="18" width="15.33203125" style="17" customWidth="1"/>
    <col min="19" max="19" width="14.5546875" style="17" customWidth="1"/>
    <col min="20" max="20" width="14.88671875" style="17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291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1647248.4418604651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430000000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14.070869386073342</v>
      </c>
      <c r="D12" s="236">
        <v>5873800</v>
      </c>
      <c r="E12" s="261">
        <f>F12/$F$20*100</f>
        <v>16.733409610983983</v>
      </c>
      <c r="F12" s="237">
        <v>5031000</v>
      </c>
      <c r="G12" s="259">
        <f>H12/$U$9*100</f>
        <v>2.536</v>
      </c>
      <c r="H12" s="257">
        <f>D12+F12</f>
        <v>10904800</v>
      </c>
      <c r="I12" s="266">
        <v>2.63</v>
      </c>
      <c r="J12" s="257">
        <f>I12/100*$U$9</f>
        <v>11309000</v>
      </c>
      <c r="K12" s="270">
        <f>J12-H12</f>
        <v>404200</v>
      </c>
      <c r="L12" s="238">
        <f t="shared" ref="L12:L19" si="0">F12/$F$20</f>
        <v>0.16733409610983982</v>
      </c>
      <c r="M12" s="238">
        <f>L12*100</f>
        <v>16.733409610983983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15007000</v>
      </c>
      <c r="S12" s="192">
        <f t="shared" ref="S12:S17" si="1">E12-Q12</f>
        <v>13.243409610983983</v>
      </c>
      <c r="T12" s="206">
        <f>(S12/100)*$U$9</f>
        <v>56946661.327231131</v>
      </c>
      <c r="U12" s="196">
        <f>R12+T12</f>
        <v>71953661.327231139</v>
      </c>
      <c r="V12" s="2">
        <f>K12/2</f>
        <v>202100</v>
      </c>
      <c r="W12" s="208">
        <f t="shared" ref="W12:W32" si="2">(E12/100)*$U$9</f>
        <v>71953661.327231139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10.640708693860732</v>
      </c>
      <c r="D13" s="236">
        <v>4441900</v>
      </c>
      <c r="E13" s="261">
        <f t="shared" ref="E13:E19" si="4">F13/$F$20*100</f>
        <v>7.1510297482837535</v>
      </c>
      <c r="F13" s="237">
        <v>2150000</v>
      </c>
      <c r="G13" s="259">
        <f t="shared" ref="G13:G18" si="5">H13/$U$9*100</f>
        <v>1.5329999999999999</v>
      </c>
      <c r="H13" s="257">
        <f>D13+F13</f>
        <v>6591900</v>
      </c>
      <c r="I13" s="266">
        <v>1.59</v>
      </c>
      <c r="J13" s="257">
        <f>I13/100*$U$9</f>
        <v>6837000</v>
      </c>
      <c r="K13" s="270">
        <f t="shared" ref="K13:K19" si="6">J13-H13</f>
        <v>245100</v>
      </c>
      <c r="L13" s="238">
        <f t="shared" si="0"/>
        <v>7.1510297482837534E-2</v>
      </c>
      <c r="M13" s="238">
        <f>L13*100</f>
        <v>7.1510297482837535</v>
      </c>
      <c r="N13" s="239">
        <v>4030000</v>
      </c>
      <c r="O13" s="239">
        <v>2156000</v>
      </c>
      <c r="P13" s="239">
        <f t="shared" ref="P13:P18" si="7">N13+O13</f>
        <v>6186000</v>
      </c>
      <c r="Q13" s="195">
        <v>1.39</v>
      </c>
      <c r="R13" s="191">
        <f t="shared" ref="R13:R20" si="8">(Q13/100)*$U$9</f>
        <v>5977000</v>
      </c>
      <c r="S13" s="192">
        <f t="shared" si="1"/>
        <v>5.7610297482837538</v>
      </c>
      <c r="T13" s="206">
        <f t="shared" ref="T13:T17" si="9">(S13/100)*$U$9</f>
        <v>24772427.917620141</v>
      </c>
      <c r="U13" s="196">
        <f t="shared" ref="U13:U17" si="10">R13+T13</f>
        <v>30749427.917620141</v>
      </c>
      <c r="V13" s="2">
        <f t="shared" ref="V13:V19" si="11">K13/2</f>
        <v>122550</v>
      </c>
      <c r="W13" s="208">
        <f t="shared" si="2"/>
        <v>30749427.917620141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14.101771734651832</v>
      </c>
      <c r="D14" s="236">
        <v>5886700</v>
      </c>
      <c r="E14" s="261">
        <f t="shared" si="4"/>
        <v>14.874141876430205</v>
      </c>
      <c r="F14" s="237">
        <v>4472000</v>
      </c>
      <c r="G14" s="259">
        <f t="shared" si="5"/>
        <v>2.4089999999999998</v>
      </c>
      <c r="H14" s="257">
        <f t="shared" ref="H14:H19" si="12">D14+F14</f>
        <v>10358700</v>
      </c>
      <c r="I14" s="266">
        <v>2.4900000000000002</v>
      </c>
      <c r="J14" s="257">
        <f t="shared" ref="J14:J19" si="13">I14/100*$U$9</f>
        <v>10707000</v>
      </c>
      <c r="K14" s="270">
        <f t="shared" si="6"/>
        <v>348300</v>
      </c>
      <c r="L14" s="238">
        <f t="shared" si="0"/>
        <v>0.14874141876430205</v>
      </c>
      <c r="M14" s="238">
        <f t="shared" ref="M14:M19" si="14">L14*100</f>
        <v>14.874141876430205</v>
      </c>
      <c r="N14" s="239">
        <v>6218000</v>
      </c>
      <c r="O14" s="239">
        <v>3480000</v>
      </c>
      <c r="P14" s="239">
        <f t="shared" si="7"/>
        <v>9698000</v>
      </c>
      <c r="Q14" s="195">
        <v>2.83</v>
      </c>
      <c r="R14" s="191">
        <f t="shared" si="8"/>
        <v>12169000.000000002</v>
      </c>
      <c r="S14" s="192">
        <f t="shared" si="1"/>
        <v>12.044141876430205</v>
      </c>
      <c r="T14" s="206">
        <f t="shared" si="9"/>
        <v>51789810.068649881</v>
      </c>
      <c r="U14" s="196">
        <f t="shared" si="10"/>
        <v>63958810.068649881</v>
      </c>
      <c r="V14" s="2">
        <f t="shared" si="11"/>
        <v>174150</v>
      </c>
      <c r="W14" s="208">
        <f t="shared" si="2"/>
        <v>63958810.068649881</v>
      </c>
    </row>
    <row r="15" spans="1:23" s="2" customFormat="1" ht="30" customHeight="1" x14ac:dyDescent="0.25">
      <c r="A15" s="234">
        <v>4</v>
      </c>
      <c r="B15" s="235" t="s">
        <v>82</v>
      </c>
      <c r="C15" s="268">
        <f>D15/$D$20*100</f>
        <v>20.241038318912238</v>
      </c>
      <c r="D15" s="236">
        <v>8449500</v>
      </c>
      <c r="E15" s="261">
        <f t="shared" si="4"/>
        <v>15.617848970251716</v>
      </c>
      <c r="F15" s="237">
        <v>4695600</v>
      </c>
      <c r="G15" s="259">
        <f t="shared" si="5"/>
        <v>3.0569999999999999</v>
      </c>
      <c r="H15" s="257">
        <f>D15+F15</f>
        <v>13145100</v>
      </c>
      <c r="I15" s="266">
        <v>3.27</v>
      </c>
      <c r="J15" s="257">
        <f t="shared" si="13"/>
        <v>14061000</v>
      </c>
      <c r="K15" s="270">
        <f t="shared" si="6"/>
        <v>915900</v>
      </c>
      <c r="L15" s="238">
        <f t="shared" si="0"/>
        <v>0.15617848970251716</v>
      </c>
      <c r="M15" s="238">
        <f t="shared" si="14"/>
        <v>15.617848970251716</v>
      </c>
      <c r="N15" s="239">
        <v>8058000</v>
      </c>
      <c r="O15" s="239">
        <v>4708000</v>
      </c>
      <c r="P15" s="239">
        <f t="shared" si="7"/>
        <v>12766000</v>
      </c>
      <c r="Q15" s="195">
        <v>2.88</v>
      </c>
      <c r="R15" s="191">
        <f t="shared" si="8"/>
        <v>12384000</v>
      </c>
      <c r="S15" s="192">
        <f t="shared" si="1"/>
        <v>12.737848970251715</v>
      </c>
      <c r="T15" s="206">
        <f>(S15/100)*$U$9</f>
        <v>54772750.572082371</v>
      </c>
      <c r="U15" s="196">
        <f>R15+T15</f>
        <v>67156750.572082371</v>
      </c>
      <c r="V15" s="2">
        <f t="shared" si="11"/>
        <v>457950</v>
      </c>
      <c r="W15" s="208">
        <f t="shared" si="2"/>
        <v>67156750.572082385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15.80140090646889</v>
      </c>
      <c r="D16" s="236">
        <v>6596200</v>
      </c>
      <c r="E16" s="261">
        <f t="shared" si="4"/>
        <v>16.304347826086957</v>
      </c>
      <c r="F16" s="237">
        <v>4902000</v>
      </c>
      <c r="G16" s="259">
        <f t="shared" si="5"/>
        <v>2.6739999999999999</v>
      </c>
      <c r="H16" s="257">
        <f t="shared" si="12"/>
        <v>11498200</v>
      </c>
      <c r="I16" s="266">
        <v>2.83</v>
      </c>
      <c r="J16" s="257">
        <f t="shared" si="13"/>
        <v>12169000.000000002</v>
      </c>
      <c r="K16" s="270">
        <f t="shared" si="6"/>
        <v>670800.00000000186</v>
      </c>
      <c r="L16" s="238">
        <f t="shared" si="0"/>
        <v>0.16304347826086957</v>
      </c>
      <c r="M16" s="238">
        <f t="shared" si="14"/>
        <v>16.304347826086957</v>
      </c>
      <c r="N16" s="239">
        <v>8472000</v>
      </c>
      <c r="O16" s="239">
        <v>4742000</v>
      </c>
      <c r="P16" s="239">
        <f t="shared" si="7"/>
        <v>13214000</v>
      </c>
      <c r="Q16" s="195">
        <v>2.58</v>
      </c>
      <c r="R16" s="191">
        <f t="shared" si="8"/>
        <v>11094000</v>
      </c>
      <c r="S16" s="192">
        <f t="shared" si="1"/>
        <v>13.724347826086957</v>
      </c>
      <c r="T16" s="206">
        <f t="shared" si="9"/>
        <v>59014695.652173921</v>
      </c>
      <c r="U16" s="196">
        <f t="shared" si="10"/>
        <v>70108695.652173921</v>
      </c>
      <c r="V16" s="2">
        <f t="shared" si="11"/>
        <v>335400.00000000093</v>
      </c>
      <c r="W16" s="208">
        <f t="shared" si="2"/>
        <v>70108695.652173921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10.867325916769675</v>
      </c>
      <c r="D17" s="236">
        <v>4536500</v>
      </c>
      <c r="E17" s="261">
        <f t="shared" si="4"/>
        <v>12.871853546910755</v>
      </c>
      <c r="F17" s="237">
        <v>3870000</v>
      </c>
      <c r="G17" s="259">
        <f t="shared" si="5"/>
        <v>1.9550000000000001</v>
      </c>
      <c r="H17" s="257">
        <f t="shared" si="12"/>
        <v>8406500</v>
      </c>
      <c r="I17" s="266">
        <v>2.16</v>
      </c>
      <c r="J17" s="257">
        <f t="shared" si="13"/>
        <v>9288000</v>
      </c>
      <c r="K17" s="270">
        <f t="shared" si="6"/>
        <v>881500</v>
      </c>
      <c r="L17" s="238">
        <f t="shared" si="0"/>
        <v>0.12871853546910755</v>
      </c>
      <c r="M17" s="238">
        <f t="shared" si="14"/>
        <v>12.871853546910755</v>
      </c>
      <c r="N17" s="239">
        <v>4585000</v>
      </c>
      <c r="O17" s="239">
        <v>3860000</v>
      </c>
      <c r="P17" s="239">
        <f t="shared" si="7"/>
        <v>8445000</v>
      </c>
      <c r="Q17" s="195">
        <v>1.83</v>
      </c>
      <c r="R17" s="191">
        <f t="shared" si="8"/>
        <v>7869000</v>
      </c>
      <c r="S17" s="192">
        <f t="shared" si="1"/>
        <v>11.041853546910755</v>
      </c>
      <c r="T17" s="206">
        <f t="shared" si="9"/>
        <v>47479970.251716241</v>
      </c>
      <c r="U17" s="196">
        <f t="shared" si="10"/>
        <v>55348970.251716241</v>
      </c>
      <c r="V17" s="2">
        <f t="shared" si="11"/>
        <v>440750</v>
      </c>
      <c r="W17" s="208">
        <f t="shared" si="2"/>
        <v>55348970.251716249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8.9822826534816649</v>
      </c>
      <c r="D18" s="236">
        <v>3749600</v>
      </c>
      <c r="E18" s="261">
        <f t="shared" si="4"/>
        <v>16.447368421052634</v>
      </c>
      <c r="F18" s="237">
        <v>4945000</v>
      </c>
      <c r="G18" s="259">
        <f t="shared" si="5"/>
        <v>2.0219999999999998</v>
      </c>
      <c r="H18" s="257">
        <f t="shared" si="12"/>
        <v>8694600</v>
      </c>
      <c r="I18" s="266">
        <v>2.17</v>
      </c>
      <c r="J18" s="257">
        <f t="shared" si="13"/>
        <v>9331000</v>
      </c>
      <c r="K18" s="270">
        <f t="shared" si="6"/>
        <v>636400</v>
      </c>
      <c r="L18" s="238">
        <f t="shared" si="0"/>
        <v>0.16447368421052633</v>
      </c>
      <c r="M18" s="238">
        <f t="shared" si="14"/>
        <v>16.447368421052634</v>
      </c>
      <c r="N18" s="239">
        <v>4060000</v>
      </c>
      <c r="O18" s="239">
        <v>4400000</v>
      </c>
      <c r="P18" s="239">
        <f t="shared" si="7"/>
        <v>8460000</v>
      </c>
      <c r="Q18" s="240"/>
      <c r="R18" s="241"/>
      <c r="S18" s="242"/>
      <c r="T18" s="243"/>
      <c r="U18" s="244"/>
      <c r="V18" s="2">
        <f t="shared" si="11"/>
        <v>318200</v>
      </c>
      <c r="W18" s="208">
        <f t="shared" si="2"/>
        <v>70723684.210526317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5.2946023897816232</v>
      </c>
      <c r="D19" s="236">
        <v>2210200</v>
      </c>
      <c r="E19" s="261">
        <f t="shared" si="4"/>
        <v>0</v>
      </c>
      <c r="F19" s="237">
        <f t="shared" ref="F19" si="15">O19</f>
        <v>0</v>
      </c>
      <c r="G19" s="259">
        <f>H19/$U$9*100</f>
        <v>0.51400000000000001</v>
      </c>
      <c r="H19" s="257">
        <f t="shared" si="12"/>
        <v>2210200</v>
      </c>
      <c r="I19" s="266">
        <v>0.56000000000000005</v>
      </c>
      <c r="J19" s="257">
        <f t="shared" si="13"/>
        <v>2408000.0000000005</v>
      </c>
      <c r="K19" s="270">
        <f t="shared" si="6"/>
        <v>197800.00000000047</v>
      </c>
      <c r="L19" s="238">
        <f t="shared" si="0"/>
        <v>0</v>
      </c>
      <c r="M19" s="238">
        <f t="shared" si="14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1"/>
        <v>98900.000000000233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41744400</v>
      </c>
      <c r="E20" s="247">
        <f>F20/$F$20*100</f>
        <v>100</v>
      </c>
      <c r="F20" s="247">
        <f>SUM(F12:F19)</f>
        <v>30065600</v>
      </c>
      <c r="G20" s="260">
        <f>SUM(G12:G19)</f>
        <v>16.7</v>
      </c>
      <c r="H20" s="256">
        <f>SUM(H12:H19)</f>
        <v>71810000</v>
      </c>
      <c r="I20" s="267">
        <f>SUM(I12:I19)</f>
        <v>17.7</v>
      </c>
      <c r="J20" s="247">
        <f>SUM(J12:J19)</f>
        <v>76110000</v>
      </c>
      <c r="K20" s="271"/>
      <c r="L20" s="248">
        <f>O20/$U$9</f>
        <v>6.4199999999999993E-2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8"/>
        <v>64500000</v>
      </c>
      <c r="S20" s="199">
        <f>E20-Q20</f>
        <v>85</v>
      </c>
      <c r="T20" s="207">
        <f>(S20/100)*$U$9</f>
        <v>365500000</v>
      </c>
      <c r="U20" s="200">
        <f>R20+T20</f>
        <v>430000000</v>
      </c>
      <c r="W20" s="208">
        <f t="shared" si="2"/>
        <v>430000000</v>
      </c>
      <c r="X20" s="276"/>
      <c r="Z20" s="3">
        <v>77880000</v>
      </c>
      <c r="AA20" s="277">
        <f>Z20-H20</f>
        <v>6070000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12470000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4300</v>
      </c>
      <c r="W22" s="208">
        <f t="shared" si="2"/>
        <v>14405000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12470000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39345000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15480000.000000002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13975000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29454999.999999996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23650000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23005000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22360000.000000004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11825000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12470000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19780000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19350000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18060000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16985000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16985000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16684000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16125000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14017999.999999998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14448000.000000002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14319000.000000002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13588000.000000002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13158000.000000002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9890000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361565600</v>
      </c>
      <c r="G47" s="252">
        <f>SUM(G20,G24,G27,G28,G29,G30,SUM(G33:G46))</f>
        <v>101.69999999999999</v>
      </c>
      <c r="H47" s="186">
        <f>SUM(H20,H24,H27,H28,H29,H30,SUM(H33:H46))</f>
        <v>403310000</v>
      </c>
      <c r="I47" s="253"/>
      <c r="J47" s="253"/>
      <c r="K47" s="253"/>
      <c r="L47" s="253"/>
      <c r="M47" s="253"/>
      <c r="N47" s="179"/>
      <c r="W47" s="254">
        <f>SUM(W20,W24,W27,W28,W29,W30,SUM(W31:W46))</f>
        <v>795500000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287">
        <f>D20-(D12+D13+D14+D17+D18)</f>
        <v>17255900</v>
      </c>
      <c r="E51" s="21"/>
      <c r="F51" s="287">
        <f>F20-(F12+F13+F14+F17+F18)</f>
        <v>9597600</v>
      </c>
      <c r="G51" s="21">
        <f>D51+F51</f>
        <v>26853500</v>
      </c>
      <c r="H51" s="187"/>
      <c r="I51" s="187" t="s">
        <v>270</v>
      </c>
      <c r="J51" s="279">
        <f>D20/H20</f>
        <v>0.58131736526946109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0.41868263473053891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topLeftCell="A58" zoomScale="70" zoomScaleNormal="70" zoomScaleSheetLayoutView="70" workbookViewId="0">
      <selection activeCell="AD13" sqref="AD13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7" width="12.6640625" style="53" hidden="1" customWidth="1"/>
    <col min="8" max="8" width="12.6640625" style="61" customWidth="1"/>
    <col min="9" max="11" width="12.6640625" style="61" hidden="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20" width="12.6640625" style="53" hidden="1" customWidth="1"/>
    <col min="21" max="21" width="12.6640625" style="53" customWidth="1"/>
    <col min="22" max="24" width="12.6640625" style="53" hidden="1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246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67" t="s">
        <v>227</v>
      </c>
      <c r="G8" s="67" t="s">
        <v>236</v>
      </c>
      <c r="H8" s="67" t="s">
        <v>245</v>
      </c>
      <c r="I8" s="67" t="s">
        <v>247</v>
      </c>
      <c r="J8" s="67" t="s">
        <v>228</v>
      </c>
      <c r="K8" s="67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67" t="s">
        <v>227</v>
      </c>
      <c r="T8" s="67" t="s">
        <v>236</v>
      </c>
      <c r="U8" s="67" t="s">
        <v>245</v>
      </c>
      <c r="V8" s="67" t="s">
        <v>247</v>
      </c>
      <c r="W8" s="67" t="s">
        <v>228</v>
      </c>
      <c r="X8" s="67" t="s">
        <v>229</v>
      </c>
      <c r="Y8" s="67" t="s">
        <v>119</v>
      </c>
    </row>
    <row r="9" spans="1:26" s="55" customFormat="1" ht="2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66000</v>
      </c>
      <c r="I9" s="129">
        <v>51866</v>
      </c>
      <c r="J9" s="129">
        <v>-3844</v>
      </c>
      <c r="K9" s="129">
        <v>60710</v>
      </c>
      <c r="L9" s="129">
        <f>E9*H9/1000</f>
        <v>37106.519999999997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3500</v>
      </c>
      <c r="T9" s="129">
        <v>3200</v>
      </c>
      <c r="U9" s="129">
        <v>3500</v>
      </c>
      <c r="V9" s="129">
        <v>2454</v>
      </c>
      <c r="W9" s="129">
        <v>-26</v>
      </c>
      <c r="X9" s="129">
        <v>2664</v>
      </c>
      <c r="Y9" s="129">
        <f>R9*U9/1000</f>
        <v>658.03499999999997</v>
      </c>
    </row>
    <row r="10" spans="1:26" s="55" customFormat="1" ht="2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34000</v>
      </c>
      <c r="H10" s="129">
        <v>35000</v>
      </c>
      <c r="I10" s="129">
        <v>26975</v>
      </c>
      <c r="J10" s="129">
        <v>-3119</v>
      </c>
      <c r="K10" s="129">
        <v>33122</v>
      </c>
      <c r="L10" s="129">
        <f t="shared" ref="L10:L28" si="0">E10*H10/1000</f>
        <v>13118.35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60000</v>
      </c>
      <c r="T10" s="129">
        <v>50000</v>
      </c>
      <c r="U10" s="129">
        <v>50000</v>
      </c>
      <c r="V10" s="129">
        <v>32742</v>
      </c>
      <c r="W10" s="129">
        <v>3445</v>
      </c>
      <c r="X10" s="129">
        <v>29202</v>
      </c>
      <c r="Y10" s="129">
        <f t="shared" ref="Y10:Y34" si="1">R10*U10/1000</f>
        <v>9760.9999999999982</v>
      </c>
    </row>
    <row r="11" spans="1:26" s="55" customFormat="1" ht="2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40000</v>
      </c>
      <c r="H11" s="129">
        <v>42000</v>
      </c>
      <c r="I11" s="129">
        <v>30458</v>
      </c>
      <c r="J11" s="129">
        <v>-3093</v>
      </c>
      <c r="K11" s="129">
        <v>36468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328</v>
      </c>
      <c r="W11" s="129">
        <v>-11</v>
      </c>
      <c r="X11" s="129">
        <v>373</v>
      </c>
      <c r="Y11" s="129">
        <f t="shared" si="1"/>
        <v>247.38</v>
      </c>
    </row>
    <row r="12" spans="1:26" s="55" customFormat="1" ht="2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65000</v>
      </c>
      <c r="G12" s="129">
        <v>60000</v>
      </c>
      <c r="H12" s="129">
        <v>65000</v>
      </c>
      <c r="I12" s="129">
        <v>49361</v>
      </c>
      <c r="J12" s="129">
        <v>-4529</v>
      </c>
      <c r="K12" s="129">
        <v>59111</v>
      </c>
      <c r="L12" s="129">
        <f t="shared" si="0"/>
        <v>32158.75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14000</v>
      </c>
      <c r="T12" s="129">
        <v>12000</v>
      </c>
      <c r="U12" s="129">
        <v>12000</v>
      </c>
      <c r="V12" s="129">
        <v>7351</v>
      </c>
      <c r="W12" s="129">
        <v>206</v>
      </c>
      <c r="X12" s="129">
        <v>7528</v>
      </c>
      <c r="Y12" s="129">
        <f>R12*U12/1000</f>
        <v>1709.16</v>
      </c>
    </row>
    <row r="13" spans="1:26" s="55" customFormat="1" ht="2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75000</v>
      </c>
      <c r="G13" s="129">
        <v>70000</v>
      </c>
      <c r="H13" s="129">
        <v>75000</v>
      </c>
      <c r="I13" s="129">
        <v>57877</v>
      </c>
      <c r="J13" s="129">
        <v>-5251</v>
      </c>
      <c r="K13" s="129">
        <v>69100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7000</v>
      </c>
      <c r="T13" s="129">
        <v>6500</v>
      </c>
      <c r="U13" s="129">
        <v>7000</v>
      </c>
      <c r="V13" s="129">
        <v>5533</v>
      </c>
      <c r="W13" s="129">
        <v>-377</v>
      </c>
      <c r="X13" s="129">
        <v>6257</v>
      </c>
      <c r="Y13" s="129">
        <f t="shared" si="1"/>
        <v>1579.48</v>
      </c>
    </row>
    <row r="14" spans="1:26" s="55" customFormat="1" ht="2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35000</v>
      </c>
      <c r="G14" s="129">
        <v>34000</v>
      </c>
      <c r="H14" s="129">
        <v>35000</v>
      </c>
      <c r="I14" s="129">
        <v>26629</v>
      </c>
      <c r="J14" s="129">
        <v>-2831</v>
      </c>
      <c r="K14" s="129">
        <v>32101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12000</v>
      </c>
      <c r="T14" s="129">
        <v>11000</v>
      </c>
      <c r="U14" s="129">
        <v>12000</v>
      </c>
      <c r="V14" s="129">
        <v>7476</v>
      </c>
      <c r="W14" s="129">
        <v>-690</v>
      </c>
      <c r="X14" s="129">
        <v>8771</v>
      </c>
      <c r="Y14" s="129">
        <f t="shared" si="1"/>
        <v>4497.72</v>
      </c>
      <c r="Z14" s="55" t="s">
        <v>138</v>
      </c>
    </row>
    <row r="15" spans="1:26" s="55" customFormat="1" ht="2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105000</v>
      </c>
      <c r="G15" s="129">
        <v>100000</v>
      </c>
      <c r="H15" s="129">
        <v>100000</v>
      </c>
      <c r="I15" s="129">
        <v>75031</v>
      </c>
      <c r="J15" s="129">
        <v>-9421</v>
      </c>
      <c r="K15" s="129">
        <v>91645</v>
      </c>
      <c r="L15" s="129">
        <f t="shared" si="0"/>
        <v>44978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40000</v>
      </c>
      <c r="T15" s="129">
        <v>36000</v>
      </c>
      <c r="U15" s="129">
        <v>36000</v>
      </c>
      <c r="V15" s="129">
        <v>28524</v>
      </c>
      <c r="W15" s="129">
        <v>-1419</v>
      </c>
      <c r="X15" s="129">
        <v>31841</v>
      </c>
      <c r="Y15" s="129">
        <f t="shared" si="1"/>
        <v>2698.56</v>
      </c>
    </row>
    <row r="16" spans="1:26" s="55" customFormat="1" ht="2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35000</v>
      </c>
      <c r="G16" s="129">
        <v>32000</v>
      </c>
      <c r="H16" s="129">
        <v>35000</v>
      </c>
      <c r="I16" s="129">
        <v>24912</v>
      </c>
      <c r="J16" s="129">
        <v>-2981</v>
      </c>
      <c r="K16" s="129">
        <v>29679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2500</v>
      </c>
      <c r="T16" s="129">
        <v>2000</v>
      </c>
      <c r="U16" s="129">
        <v>2000</v>
      </c>
      <c r="V16" s="129">
        <v>1219</v>
      </c>
      <c r="W16" s="129">
        <v>-100</v>
      </c>
      <c r="X16" s="129">
        <v>1433</v>
      </c>
      <c r="Y16" s="129">
        <f t="shared" si="1"/>
        <v>112.44</v>
      </c>
    </row>
    <row r="17" spans="1:25" s="55" customFormat="1" ht="2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60000</v>
      </c>
      <c r="G17" s="129">
        <v>35000</v>
      </c>
      <c r="H17" s="129">
        <v>35000</v>
      </c>
      <c r="I17" s="129">
        <v>20987</v>
      </c>
      <c r="J17" s="129">
        <v>-21081</v>
      </c>
      <c r="K17" s="129">
        <v>43796</v>
      </c>
      <c r="L17" s="129">
        <f t="shared" si="0"/>
        <v>7543.2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2500</v>
      </c>
      <c r="T17" s="129">
        <v>2000</v>
      </c>
      <c r="U17" s="129">
        <v>2000</v>
      </c>
      <c r="V17" s="129">
        <v>1032</v>
      </c>
      <c r="W17" s="129">
        <v>-199</v>
      </c>
      <c r="X17" s="129">
        <v>1295</v>
      </c>
      <c r="Y17" s="129">
        <f t="shared" si="1"/>
        <v>299.86</v>
      </c>
    </row>
    <row r="18" spans="1:25" s="55" customFormat="1" ht="2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20000</v>
      </c>
      <c r="G18" s="129">
        <v>18000</v>
      </c>
      <c r="H18" s="129">
        <v>18000</v>
      </c>
      <c r="I18" s="129">
        <v>10347</v>
      </c>
      <c r="J18" s="129">
        <v>-781</v>
      </c>
      <c r="K18" s="129">
        <v>11663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2800</v>
      </c>
      <c r="T18" s="129">
        <v>2500</v>
      </c>
      <c r="U18" s="129">
        <v>2500</v>
      </c>
      <c r="V18" s="129">
        <v>1363</v>
      </c>
      <c r="W18" s="129">
        <v>-254</v>
      </c>
      <c r="X18" s="129">
        <v>1727</v>
      </c>
      <c r="Y18" s="129">
        <f t="shared" si="1"/>
        <v>899.55</v>
      </c>
    </row>
    <row r="19" spans="1:25" s="55" customFormat="1" ht="2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14000</v>
      </c>
      <c r="G19" s="129">
        <v>12000</v>
      </c>
      <c r="H19" s="129">
        <v>12000</v>
      </c>
      <c r="I19" s="129">
        <v>6273</v>
      </c>
      <c r="J19" s="129">
        <v>-579</v>
      </c>
      <c r="K19" s="129">
        <v>7191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5000</v>
      </c>
      <c r="T19" s="129">
        <v>4000</v>
      </c>
      <c r="U19" s="129">
        <v>4000</v>
      </c>
      <c r="V19" s="129">
        <v>2337</v>
      </c>
      <c r="W19" s="129">
        <v>-33</v>
      </c>
      <c r="X19" s="129">
        <v>2492</v>
      </c>
      <c r="Y19" s="129">
        <f t="shared" si="1"/>
        <v>629.67999999999995</v>
      </c>
    </row>
    <row r="20" spans="1:25" s="55" customFormat="1" ht="2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20000</v>
      </c>
      <c r="G20" s="129">
        <v>18000</v>
      </c>
      <c r="H20" s="129">
        <v>20000</v>
      </c>
      <c r="I20" s="129">
        <v>13532</v>
      </c>
      <c r="J20" s="129">
        <v>-1493</v>
      </c>
      <c r="K20" s="129">
        <v>16131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12500</v>
      </c>
      <c r="T20" s="129">
        <v>10000</v>
      </c>
      <c r="U20" s="129">
        <v>10000</v>
      </c>
      <c r="V20" s="129">
        <v>4049</v>
      </c>
      <c r="W20" s="129">
        <v>-978</v>
      </c>
      <c r="X20" s="129">
        <v>5223</v>
      </c>
      <c r="Y20" s="129">
        <f t="shared" si="1"/>
        <v>3148.3999999999996</v>
      </c>
    </row>
    <row r="21" spans="1:25" s="55" customFormat="1" ht="2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16000</v>
      </c>
      <c r="G21" s="129">
        <v>40000</v>
      </c>
      <c r="H21" s="129">
        <v>40000</v>
      </c>
      <c r="I21" s="129">
        <v>35332</v>
      </c>
      <c r="J21" s="129">
        <v>29305</v>
      </c>
      <c r="K21" s="129">
        <v>6468</v>
      </c>
      <c r="L21" s="129">
        <f t="shared" si="0"/>
        <v>9652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7000</v>
      </c>
      <c r="T21" s="129">
        <v>6500</v>
      </c>
      <c r="U21" s="129">
        <v>6500</v>
      </c>
      <c r="V21" s="129">
        <v>5233</v>
      </c>
      <c r="W21" s="129">
        <v>423</v>
      </c>
      <c r="X21" s="129">
        <v>5128</v>
      </c>
      <c r="Y21" s="129">
        <f t="shared" si="1"/>
        <v>956.6049999999999</v>
      </c>
    </row>
    <row r="22" spans="1:25" s="55" customFormat="1" ht="2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25000</v>
      </c>
      <c r="G22" s="129">
        <v>22000</v>
      </c>
      <c r="H22" s="129">
        <v>22000</v>
      </c>
      <c r="I22" s="129">
        <v>12733</v>
      </c>
      <c r="J22" s="129">
        <v>-893</v>
      </c>
      <c r="K22" s="129">
        <v>14408</v>
      </c>
      <c r="L22" s="129">
        <f t="shared" si="0"/>
        <v>7421.26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5000</v>
      </c>
      <c r="T22" s="129">
        <v>4500</v>
      </c>
      <c r="U22" s="129">
        <v>4500</v>
      </c>
      <c r="V22" s="129">
        <v>3934</v>
      </c>
      <c r="W22" s="129">
        <v>-312</v>
      </c>
      <c r="X22" s="129">
        <v>4560</v>
      </c>
      <c r="Y22" s="129">
        <f t="shared" si="1"/>
        <v>674.68499999999995</v>
      </c>
    </row>
    <row r="23" spans="1:25" s="55" customFormat="1" ht="2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15000</v>
      </c>
      <c r="G23" s="132">
        <v>12000</v>
      </c>
      <c r="H23" s="132">
        <v>12000</v>
      </c>
      <c r="I23" s="132">
        <v>8143</v>
      </c>
      <c r="J23" s="132">
        <v>-629</v>
      </c>
      <c r="K23" s="132">
        <v>9243</v>
      </c>
      <c r="L23" s="129">
        <f t="shared" si="0"/>
        <v>2248.92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2000</v>
      </c>
      <c r="T23" s="129">
        <v>1800</v>
      </c>
      <c r="U23" s="129">
        <v>1800</v>
      </c>
      <c r="V23" s="129">
        <v>1084</v>
      </c>
      <c r="W23" s="129">
        <v>-209</v>
      </c>
      <c r="X23" s="129">
        <v>1393</v>
      </c>
      <c r="Y23" s="129">
        <f t="shared" si="1"/>
        <v>404.80200000000002</v>
      </c>
    </row>
    <row r="24" spans="1:25" s="55" customFormat="1" ht="2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20000</v>
      </c>
      <c r="G24" s="132">
        <v>18000</v>
      </c>
      <c r="H24" s="132">
        <v>18000</v>
      </c>
      <c r="I24" s="132">
        <v>12153</v>
      </c>
      <c r="J24" s="132">
        <v>-520</v>
      </c>
      <c r="K24" s="132">
        <v>13501</v>
      </c>
      <c r="L24" s="129">
        <f t="shared" si="0"/>
        <v>5667.12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13000</v>
      </c>
      <c r="T24" s="129">
        <v>12000</v>
      </c>
      <c r="U24" s="129">
        <v>13000</v>
      </c>
      <c r="V24" s="129">
        <v>9322</v>
      </c>
      <c r="W24" s="129">
        <v>-378</v>
      </c>
      <c r="X24" s="129">
        <v>10386</v>
      </c>
      <c r="Y24" s="129">
        <f t="shared" si="1"/>
        <v>1759.94</v>
      </c>
    </row>
    <row r="25" spans="1:25" s="55" customFormat="1" ht="2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20000</v>
      </c>
      <c r="G25" s="132">
        <v>18000</v>
      </c>
      <c r="H25" s="132">
        <v>20000</v>
      </c>
      <c r="I25" s="132">
        <v>14301</v>
      </c>
      <c r="J25" s="132">
        <v>-534</v>
      </c>
      <c r="K25" s="132">
        <v>15826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15000</v>
      </c>
      <c r="U25" s="129">
        <v>15000</v>
      </c>
      <c r="V25" s="129">
        <v>11566</v>
      </c>
      <c r="W25" s="129">
        <v>-1409</v>
      </c>
      <c r="X25" s="129">
        <v>14111</v>
      </c>
      <c r="Y25" s="129">
        <f t="shared" si="1"/>
        <v>2698.65</v>
      </c>
    </row>
    <row r="26" spans="1:25" s="55" customFormat="1" ht="2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7500</v>
      </c>
      <c r="G26" s="129">
        <v>6000</v>
      </c>
      <c r="H26" s="129">
        <v>6000</v>
      </c>
      <c r="I26" s="129">
        <v>3328</v>
      </c>
      <c r="J26" s="129">
        <v>-693</v>
      </c>
      <c r="K26" s="129">
        <v>4252</v>
      </c>
      <c r="L26" s="129">
        <f t="shared" si="0"/>
        <v>1259.4000000000001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1800</v>
      </c>
      <c r="T26" s="129">
        <v>1500</v>
      </c>
      <c r="U26" s="129">
        <v>1500</v>
      </c>
      <c r="V26" s="129">
        <v>889</v>
      </c>
      <c r="W26" s="129">
        <v>-196</v>
      </c>
      <c r="X26" s="129">
        <v>995</v>
      </c>
      <c r="Y26" s="129">
        <f t="shared" si="1"/>
        <v>890.22</v>
      </c>
    </row>
    <row r="27" spans="1:25" s="55" customFormat="1" ht="2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13000</v>
      </c>
      <c r="G27" s="129">
        <v>12000</v>
      </c>
      <c r="H27" s="129">
        <v>13000</v>
      </c>
      <c r="I27" s="129">
        <v>8390</v>
      </c>
      <c r="J27" s="129">
        <v>-203</v>
      </c>
      <c r="K27" s="129">
        <v>9115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14000</v>
      </c>
      <c r="T27" s="129">
        <v>12000</v>
      </c>
      <c r="U27" s="129">
        <v>13000</v>
      </c>
      <c r="V27" s="129">
        <v>9314</v>
      </c>
      <c r="W27" s="129">
        <v>-848</v>
      </c>
      <c r="X27" s="129">
        <v>10896</v>
      </c>
      <c r="Y27" s="129">
        <f t="shared" si="1"/>
        <v>4034.4199999999996</v>
      </c>
    </row>
    <row r="28" spans="1:25" s="55" customFormat="1" ht="2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15000</v>
      </c>
      <c r="G28" s="129">
        <v>13000</v>
      </c>
      <c r="H28" s="129">
        <v>15000</v>
      </c>
      <c r="I28" s="129">
        <v>10524</v>
      </c>
      <c r="J28" s="129">
        <v>721</v>
      </c>
      <c r="K28" s="129">
        <v>10449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65000</v>
      </c>
      <c r="T28" s="129">
        <v>62000</v>
      </c>
      <c r="U28" s="129">
        <v>65000</v>
      </c>
      <c r="V28" s="129">
        <v>58417</v>
      </c>
      <c r="W28" s="129">
        <v>5846</v>
      </c>
      <c r="X28" s="129">
        <v>55750</v>
      </c>
      <c r="Y28" s="129">
        <f t="shared" si="1"/>
        <v>14808.95</v>
      </c>
    </row>
    <row r="29" spans="1:25" s="55" customFormat="1" ht="2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260501.81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11000</v>
      </c>
      <c r="T29" s="129">
        <v>10000</v>
      </c>
      <c r="U29" s="129">
        <v>11000</v>
      </c>
      <c r="V29" s="129">
        <v>8100</v>
      </c>
      <c r="W29" s="129">
        <v>-149</v>
      </c>
      <c r="X29" s="129">
        <v>8718</v>
      </c>
      <c r="Y29" s="129">
        <f t="shared" si="1"/>
        <v>1979.01</v>
      </c>
    </row>
    <row r="30" spans="1:25" s="55" customFormat="1" ht="20.25" customHeight="1" x14ac:dyDescent="0.3">
      <c r="A30" s="120"/>
      <c r="B30" s="120"/>
      <c r="F30" s="165"/>
      <c r="G30" s="165"/>
      <c r="H30" s="164"/>
      <c r="I30" s="82">
        <f>L29/Y61</f>
        <v>0.73749630949997602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15000</v>
      </c>
      <c r="T30" s="129">
        <v>12000</v>
      </c>
      <c r="U30" s="129">
        <v>14000</v>
      </c>
      <c r="V30" s="129">
        <v>7584</v>
      </c>
      <c r="W30" s="129">
        <v>-572</v>
      </c>
      <c r="X30" s="129">
        <v>10232</v>
      </c>
      <c r="Y30" s="129">
        <f t="shared" si="1"/>
        <v>1263.08</v>
      </c>
    </row>
    <row r="31" spans="1:25" s="55" customFormat="1" ht="2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5000</v>
      </c>
      <c r="T31" s="129">
        <v>4000</v>
      </c>
      <c r="U31" s="129">
        <v>4500</v>
      </c>
      <c r="V31" s="129">
        <v>2945</v>
      </c>
      <c r="W31" s="129">
        <v>199</v>
      </c>
      <c r="X31" s="129">
        <v>2931</v>
      </c>
      <c r="Y31" s="129">
        <f t="shared" si="1"/>
        <v>744.35534999999993</v>
      </c>
    </row>
    <row r="32" spans="1:25" s="55" customFormat="1" ht="33.75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227</v>
      </c>
      <c r="G32" s="67" t="s">
        <v>236</v>
      </c>
      <c r="H32" s="67" t="s">
        <v>245</v>
      </c>
      <c r="I32" s="67" t="s">
        <v>247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24000</v>
      </c>
      <c r="T32" s="129">
        <v>20000</v>
      </c>
      <c r="U32" s="129">
        <v>22000</v>
      </c>
      <c r="V32" s="129">
        <v>16016</v>
      </c>
      <c r="W32" s="129">
        <v>-103</v>
      </c>
      <c r="X32" s="129">
        <v>17333</v>
      </c>
      <c r="Y32" s="129">
        <f t="shared" si="1"/>
        <v>2582.58</v>
      </c>
    </row>
    <row r="33" spans="1:25" s="55" customFormat="1" ht="2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5000</v>
      </c>
      <c r="G33" s="129">
        <v>4500</v>
      </c>
      <c r="H33" s="129">
        <v>4500</v>
      </c>
      <c r="I33" s="129">
        <v>2874</v>
      </c>
      <c r="J33" s="129">
        <v>-183</v>
      </c>
      <c r="K33" s="129">
        <v>3292</v>
      </c>
      <c r="L33" s="129">
        <f>E33*H33/1000</f>
        <v>809.59500000000003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24000</v>
      </c>
      <c r="T33" s="129">
        <v>18000</v>
      </c>
      <c r="U33" s="129">
        <v>16000</v>
      </c>
      <c r="V33" s="129">
        <v>11480</v>
      </c>
      <c r="W33" s="129">
        <v>-1969</v>
      </c>
      <c r="X33" s="129">
        <v>14231</v>
      </c>
      <c r="Y33" s="129">
        <f t="shared" si="1"/>
        <v>479.84</v>
      </c>
    </row>
    <row r="34" spans="1:25" s="55" customFormat="1" ht="2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2458</v>
      </c>
      <c r="J34" s="129">
        <v>-285</v>
      </c>
      <c r="K34" s="129">
        <v>2899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14000</v>
      </c>
      <c r="T34" s="129">
        <v>10000</v>
      </c>
      <c r="U34" s="129">
        <v>8000</v>
      </c>
      <c r="V34" s="129">
        <v>5603</v>
      </c>
      <c r="W34" s="129">
        <v>-1613</v>
      </c>
      <c r="X34" s="129">
        <v>7542</v>
      </c>
      <c r="Y34" s="129">
        <f t="shared" si="1"/>
        <v>269.83999999999997</v>
      </c>
    </row>
    <row r="35" spans="1:25" s="55" customFormat="1" ht="2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930</v>
      </c>
      <c r="J35" s="129">
        <v>-64</v>
      </c>
      <c r="K35" s="129">
        <v>1088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59788.242349999993</v>
      </c>
    </row>
    <row r="36" spans="1:25" s="55" customFormat="1" ht="2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2500</v>
      </c>
      <c r="G36" s="129">
        <v>2200</v>
      </c>
      <c r="H36" s="129">
        <v>2500</v>
      </c>
      <c r="I36" s="129">
        <v>1334</v>
      </c>
      <c r="J36" s="129">
        <v>11</v>
      </c>
      <c r="K36" s="129">
        <v>1430</v>
      </c>
      <c r="L36" s="129">
        <f t="shared" si="2"/>
        <v>749.625</v>
      </c>
      <c r="M36" s="139"/>
      <c r="U36" s="73"/>
      <c r="V36" s="166">
        <f>Y35/Y61</f>
        <v>0.16926411407511974</v>
      </c>
      <c r="W36" s="73"/>
      <c r="X36" s="73"/>
      <c r="Y36" s="140"/>
    </row>
    <row r="37" spans="1:25" s="55" customFormat="1" ht="32.25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4000</v>
      </c>
      <c r="G37" s="129">
        <v>3800</v>
      </c>
      <c r="H37" s="129">
        <v>3500</v>
      </c>
      <c r="I37" s="129">
        <v>2175</v>
      </c>
      <c r="J37" s="129">
        <v>-73</v>
      </c>
      <c r="K37" s="129">
        <v>2403</v>
      </c>
      <c r="L37" s="129">
        <f t="shared" si="2"/>
        <v>789.46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5.2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4000</v>
      </c>
      <c r="G38" s="129">
        <v>3800</v>
      </c>
      <c r="H38" s="129">
        <v>3500</v>
      </c>
      <c r="I38" s="129">
        <v>2316</v>
      </c>
      <c r="J38" s="129">
        <v>-215</v>
      </c>
      <c r="K38" s="129">
        <v>2707</v>
      </c>
      <c r="L38" s="129">
        <f t="shared" si="2"/>
        <v>473.83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227</v>
      </c>
      <c r="T38" s="67" t="s">
        <v>236</v>
      </c>
      <c r="U38" s="67" t="s">
        <v>245</v>
      </c>
      <c r="V38" s="67" t="s">
        <v>247</v>
      </c>
      <c r="W38" s="67" t="s">
        <v>228</v>
      </c>
      <c r="X38" s="67" t="s">
        <v>229</v>
      </c>
      <c r="Y38" s="67" t="s">
        <v>119</v>
      </c>
    </row>
    <row r="39" spans="1:25" s="55" customFormat="1" ht="20.25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3000</v>
      </c>
      <c r="G39" s="129">
        <v>2800</v>
      </c>
      <c r="H39" s="129">
        <v>3000</v>
      </c>
      <c r="I39" s="129">
        <v>1949</v>
      </c>
      <c r="J39" s="129">
        <v>2</v>
      </c>
      <c r="K39" s="129">
        <v>2126</v>
      </c>
      <c r="L39" s="129">
        <f t="shared" si="2"/>
        <v>449.79</v>
      </c>
      <c r="M39" s="139"/>
      <c r="N39" s="5">
        <v>1</v>
      </c>
      <c r="O39" s="167" t="s">
        <v>238</v>
      </c>
      <c r="P39" s="9" t="s">
        <v>237</v>
      </c>
      <c r="Q39" s="8" t="s">
        <v>232</v>
      </c>
      <c r="R39" s="8">
        <v>449.78</v>
      </c>
      <c r="S39" s="129"/>
      <c r="T39" s="129">
        <v>15000</v>
      </c>
      <c r="U39" s="129">
        <v>12000</v>
      </c>
      <c r="V39" s="129">
        <v>5031</v>
      </c>
      <c r="W39" s="129">
        <v>4462</v>
      </c>
      <c r="X39" s="129">
        <v>7085</v>
      </c>
      <c r="Y39" s="129">
        <f>R39*U39/1000</f>
        <v>5397.36</v>
      </c>
    </row>
    <row r="40" spans="1:25" s="55" customFormat="1" ht="2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337</v>
      </c>
      <c r="J40" s="129">
        <v>-15</v>
      </c>
      <c r="K40" s="129">
        <v>382</v>
      </c>
      <c r="L40" s="129">
        <f t="shared" si="2"/>
        <v>337.33499999999998</v>
      </c>
      <c r="M40" s="139"/>
      <c r="N40" s="5">
        <v>2</v>
      </c>
      <c r="O40" s="167" t="s">
        <v>243</v>
      </c>
      <c r="P40" s="9" t="s">
        <v>239</v>
      </c>
      <c r="Q40" s="8" t="s">
        <v>241</v>
      </c>
      <c r="R40" s="8">
        <v>269.87</v>
      </c>
      <c r="S40" s="129"/>
      <c r="T40" s="129">
        <v>12000</v>
      </c>
      <c r="U40" s="129">
        <v>10000</v>
      </c>
      <c r="V40" s="129">
        <v>3281</v>
      </c>
      <c r="W40" s="129">
        <v>-3559</v>
      </c>
      <c r="X40" s="129">
        <v>167</v>
      </c>
      <c r="Y40" s="129">
        <f>R40*U40/1000</f>
        <v>2698.7</v>
      </c>
    </row>
    <row r="41" spans="1:25" s="74" customFormat="1" ht="2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25000</v>
      </c>
      <c r="G41" s="129">
        <v>20000</v>
      </c>
      <c r="H41" s="129">
        <v>24000</v>
      </c>
      <c r="I41" s="129">
        <v>18713</v>
      </c>
      <c r="J41" s="129">
        <v>2931</v>
      </c>
      <c r="K41" s="129">
        <v>21690</v>
      </c>
      <c r="L41" s="129">
        <f t="shared" si="2"/>
        <v>2010.72</v>
      </c>
      <c r="M41" s="139"/>
      <c r="N41" s="5">
        <v>3</v>
      </c>
      <c r="O41" s="167" t="s">
        <v>244</v>
      </c>
      <c r="P41" s="9" t="s">
        <v>240</v>
      </c>
      <c r="Q41" s="8" t="s">
        <v>242</v>
      </c>
      <c r="R41" s="8">
        <v>359.82</v>
      </c>
      <c r="S41" s="129"/>
      <c r="T41" s="129">
        <v>10000</v>
      </c>
      <c r="U41" s="129">
        <v>8000</v>
      </c>
      <c r="V41" s="129">
        <v>1747</v>
      </c>
      <c r="W41" s="129">
        <v>1747</v>
      </c>
      <c r="X41" s="129">
        <v>119</v>
      </c>
      <c r="Y41" s="129">
        <f>R41*U41/1000</f>
        <v>2878.56</v>
      </c>
    </row>
    <row r="42" spans="1:25" s="74" customFormat="1" ht="2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14000</v>
      </c>
      <c r="G42" s="129">
        <v>13000</v>
      </c>
      <c r="H42" s="129">
        <v>13500</v>
      </c>
      <c r="I42" s="129">
        <v>8515</v>
      </c>
      <c r="J42" s="129">
        <v>384</v>
      </c>
      <c r="K42" s="129">
        <v>10911</v>
      </c>
      <c r="L42" s="129">
        <f t="shared" si="2"/>
        <v>2167.9650000000001</v>
      </c>
      <c r="M42" s="139"/>
      <c r="N42" s="5">
        <v>4</v>
      </c>
      <c r="O42" s="167" t="s">
        <v>234</v>
      </c>
      <c r="P42" s="9" t="s">
        <v>230</v>
      </c>
      <c r="Q42" s="8" t="s">
        <v>232</v>
      </c>
      <c r="R42" s="8">
        <v>224.89</v>
      </c>
      <c r="S42" s="129"/>
      <c r="T42" s="129">
        <v>5000</v>
      </c>
      <c r="U42" s="129">
        <v>3000</v>
      </c>
      <c r="V42" s="129">
        <v>337</v>
      </c>
      <c r="W42" s="129">
        <v>-5628</v>
      </c>
      <c r="X42" s="129">
        <v>637</v>
      </c>
      <c r="Y42" s="129">
        <f>R42*U42/1000</f>
        <v>674.67</v>
      </c>
    </row>
    <row r="43" spans="1:25" s="74" customFormat="1" ht="2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12000</v>
      </c>
      <c r="G43" s="129">
        <v>11000</v>
      </c>
      <c r="H43" s="129">
        <v>12000</v>
      </c>
      <c r="I43" s="129">
        <v>7688</v>
      </c>
      <c r="J43" s="129">
        <v>961</v>
      </c>
      <c r="K43" s="129">
        <v>10450</v>
      </c>
      <c r="L43" s="129">
        <f t="shared" si="2"/>
        <v>1687.2</v>
      </c>
      <c r="M43" s="139"/>
      <c r="N43" s="5">
        <v>5</v>
      </c>
      <c r="O43" s="167" t="s">
        <v>235</v>
      </c>
      <c r="P43" s="9" t="s">
        <v>231</v>
      </c>
      <c r="Q43" s="8" t="s">
        <v>233</v>
      </c>
      <c r="R43" s="8">
        <v>187.41</v>
      </c>
      <c r="S43" s="129"/>
      <c r="T43" s="129">
        <v>2000</v>
      </c>
      <c r="U43" s="129">
        <v>2000</v>
      </c>
      <c r="V43" s="129">
        <v>302</v>
      </c>
      <c r="W43" s="129">
        <v>-306</v>
      </c>
      <c r="X43" s="129">
        <v>596</v>
      </c>
      <c r="Y43" s="129">
        <f>R43*U43/1000</f>
        <v>374.82</v>
      </c>
    </row>
    <row r="44" spans="1:25" s="74" customFormat="1" ht="19.5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10000</v>
      </c>
      <c r="G44" s="129">
        <v>8000</v>
      </c>
      <c r="H44" s="129">
        <v>10000</v>
      </c>
      <c r="I44" s="129">
        <v>6585</v>
      </c>
      <c r="J44" s="129">
        <v>-136</v>
      </c>
      <c r="K44" s="129">
        <v>7150</v>
      </c>
      <c r="L44" s="129">
        <f t="shared" si="2"/>
        <v>1793.5000000000002</v>
      </c>
      <c r="M44" s="134"/>
      <c r="N44" s="5">
        <v>6</v>
      </c>
      <c r="O44" s="5" t="s">
        <v>210</v>
      </c>
      <c r="P44" s="9" t="s">
        <v>141</v>
      </c>
      <c r="Q44" s="8" t="s">
        <v>142</v>
      </c>
      <c r="R44" s="8">
        <v>52.47</v>
      </c>
      <c r="S44" s="129">
        <v>8000</v>
      </c>
      <c r="T44" s="129">
        <v>5500</v>
      </c>
      <c r="U44" s="129">
        <v>5500</v>
      </c>
      <c r="V44" s="129">
        <v>2529</v>
      </c>
      <c r="W44" s="129">
        <v>-101</v>
      </c>
      <c r="X44" s="129">
        <v>2743</v>
      </c>
      <c r="Y44" s="129">
        <f t="shared" ref="Y44:Y50" si="3">R44*U44/1000</f>
        <v>288.58499999999998</v>
      </c>
    </row>
    <row r="45" spans="1:25" s="74" customFormat="1" ht="2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8000</v>
      </c>
      <c r="G45" s="129">
        <v>7000</v>
      </c>
      <c r="H45" s="129">
        <v>8000</v>
      </c>
      <c r="I45" s="129">
        <v>5533</v>
      </c>
      <c r="J45" s="129">
        <v>274</v>
      </c>
      <c r="K45" s="129">
        <v>5666</v>
      </c>
      <c r="L45" s="129">
        <f t="shared" si="2"/>
        <v>938.07999999999993</v>
      </c>
      <c r="M45" s="134"/>
      <c r="N45" s="5">
        <v>7</v>
      </c>
      <c r="O45" s="5" t="s">
        <v>212</v>
      </c>
      <c r="P45" s="9" t="s">
        <v>144</v>
      </c>
      <c r="Q45" s="8" t="s">
        <v>142</v>
      </c>
      <c r="R45" s="8">
        <v>33.729999999999997</v>
      </c>
      <c r="S45" s="129">
        <v>5000</v>
      </c>
      <c r="T45" s="129">
        <v>3000</v>
      </c>
      <c r="U45" s="129">
        <v>3000</v>
      </c>
      <c r="V45" s="129">
        <v>792</v>
      </c>
      <c r="W45" s="129">
        <v>27</v>
      </c>
      <c r="X45" s="129">
        <v>780</v>
      </c>
      <c r="Y45" s="129">
        <f t="shared" si="3"/>
        <v>101.18999999999998</v>
      </c>
    </row>
    <row r="46" spans="1:25" s="55" customFormat="1" ht="2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15000</v>
      </c>
      <c r="G46" s="129">
        <v>12000</v>
      </c>
      <c r="H46" s="129">
        <v>15000</v>
      </c>
      <c r="I46" s="129">
        <v>13801</v>
      </c>
      <c r="J46" s="129">
        <v>999</v>
      </c>
      <c r="K46" s="129">
        <v>13530</v>
      </c>
      <c r="L46" s="129">
        <f t="shared" si="2"/>
        <v>1104.7938000000001</v>
      </c>
      <c r="M46" s="118"/>
      <c r="N46" s="5">
        <v>8</v>
      </c>
      <c r="O46" s="5" t="s">
        <v>214</v>
      </c>
      <c r="P46" s="9" t="s">
        <v>143</v>
      </c>
      <c r="Q46" s="8" t="s">
        <v>72</v>
      </c>
      <c r="R46" s="8">
        <v>37.479999999999997</v>
      </c>
      <c r="S46" s="129">
        <v>4000</v>
      </c>
      <c r="T46" s="129">
        <v>2500</v>
      </c>
      <c r="U46" s="129">
        <v>2500</v>
      </c>
      <c r="V46" s="129">
        <v>744</v>
      </c>
      <c r="W46" s="129">
        <v>113</v>
      </c>
      <c r="X46" s="129">
        <v>643</v>
      </c>
      <c r="Y46" s="129">
        <f t="shared" si="3"/>
        <v>93.699999999999989</v>
      </c>
    </row>
    <row r="47" spans="1:25" s="55" customFormat="1" ht="20.25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14796.153800000002</v>
      </c>
      <c r="M47" s="128"/>
      <c r="N47" s="5">
        <v>9</v>
      </c>
      <c r="O47" s="5" t="s">
        <v>216</v>
      </c>
      <c r="P47" s="9" t="s">
        <v>146</v>
      </c>
      <c r="Q47" s="8" t="s">
        <v>145</v>
      </c>
      <c r="R47" s="8">
        <v>25.19</v>
      </c>
      <c r="S47" s="129">
        <v>4000</v>
      </c>
      <c r="T47" s="129">
        <v>3000</v>
      </c>
      <c r="U47" s="129">
        <v>3000</v>
      </c>
      <c r="V47" s="129">
        <v>741</v>
      </c>
      <c r="W47" s="129">
        <v>-59</v>
      </c>
      <c r="X47" s="129">
        <v>813</v>
      </c>
      <c r="Y47" s="129">
        <f t="shared" si="3"/>
        <v>75.569999999999993</v>
      </c>
    </row>
    <row r="48" spans="1:25" s="55" customFormat="1" ht="20.25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218</v>
      </c>
      <c r="P48" s="9" t="s">
        <v>147</v>
      </c>
      <c r="Q48" s="8" t="s">
        <v>145</v>
      </c>
      <c r="R48" s="8">
        <v>27.06</v>
      </c>
      <c r="S48" s="129">
        <v>3500</v>
      </c>
      <c r="T48" s="129">
        <v>2000</v>
      </c>
      <c r="U48" s="129">
        <v>2000</v>
      </c>
      <c r="V48" s="129">
        <v>528</v>
      </c>
      <c r="W48" s="129">
        <v>107</v>
      </c>
      <c r="X48" s="129">
        <v>399</v>
      </c>
      <c r="Y48" s="129">
        <f t="shared" si="3"/>
        <v>54.12</v>
      </c>
    </row>
    <row r="49" spans="1:25" s="55" customFormat="1" ht="19.5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220</v>
      </c>
      <c r="P49" s="9" t="s">
        <v>149</v>
      </c>
      <c r="Q49" s="8" t="s">
        <v>72</v>
      </c>
      <c r="R49" s="8">
        <v>21.44</v>
      </c>
      <c r="S49" s="129">
        <v>6500</v>
      </c>
      <c r="T49" s="129">
        <v>6000</v>
      </c>
      <c r="U49" s="129">
        <v>6000</v>
      </c>
      <c r="V49" s="129">
        <v>3172</v>
      </c>
      <c r="W49" s="129">
        <v>45</v>
      </c>
      <c r="X49" s="129">
        <v>3301</v>
      </c>
      <c r="Y49" s="129">
        <f t="shared" si="3"/>
        <v>128.64000000000001</v>
      </c>
    </row>
    <row r="50" spans="1:25" s="55" customFormat="1" ht="30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227</v>
      </c>
      <c r="G50" s="67" t="s">
        <v>236</v>
      </c>
      <c r="H50" s="67" t="s">
        <v>245</v>
      </c>
      <c r="I50" s="67" t="s">
        <v>247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221</v>
      </c>
      <c r="P50" s="9" t="s">
        <v>148</v>
      </c>
      <c r="Q50" s="8" t="s">
        <v>72</v>
      </c>
      <c r="R50" s="8">
        <v>21.44</v>
      </c>
      <c r="S50" s="129">
        <v>5000</v>
      </c>
      <c r="T50" s="129">
        <v>4000</v>
      </c>
      <c r="U50" s="129">
        <v>4000</v>
      </c>
      <c r="V50" s="129">
        <v>1450</v>
      </c>
      <c r="W50" s="129">
        <v>153</v>
      </c>
      <c r="X50" s="129">
        <v>1354</v>
      </c>
      <c r="Y50" s="129">
        <f t="shared" si="3"/>
        <v>85.76</v>
      </c>
    </row>
    <row r="51" spans="1:25" s="54" customFormat="1" ht="19.5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5000</v>
      </c>
      <c r="G51" s="129">
        <v>4000</v>
      </c>
      <c r="H51" s="129">
        <v>4500</v>
      </c>
      <c r="I51" s="129">
        <v>3110</v>
      </c>
      <c r="J51" s="129">
        <v>555</v>
      </c>
      <c r="K51" s="129">
        <v>2675</v>
      </c>
      <c r="L51" s="129">
        <f>E51*H51/1000</f>
        <v>1082.69865</v>
      </c>
      <c r="M51" s="134"/>
      <c r="N51" s="5">
        <v>13</v>
      </c>
      <c r="O51" s="5" t="s">
        <v>222</v>
      </c>
      <c r="P51" s="9" t="s">
        <v>150</v>
      </c>
      <c r="Q51" s="8" t="s">
        <v>59</v>
      </c>
      <c r="R51" s="8">
        <v>179.91</v>
      </c>
      <c r="S51" s="129">
        <v>2000</v>
      </c>
      <c r="T51" s="129">
        <v>1500</v>
      </c>
      <c r="U51" s="129">
        <v>1500</v>
      </c>
      <c r="V51" s="129">
        <v>317</v>
      </c>
      <c r="W51" s="129">
        <v>-83</v>
      </c>
      <c r="X51" s="129">
        <v>431</v>
      </c>
      <c r="Y51" s="129">
        <f>R51*U51/1000</f>
        <v>269.86500000000001</v>
      </c>
    </row>
    <row r="52" spans="1:25" s="54" customFormat="1" ht="21.75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1431</v>
      </c>
      <c r="J52" s="129">
        <v>169</v>
      </c>
      <c r="K52" s="129">
        <v>1352</v>
      </c>
      <c r="L52" s="129">
        <f>E52*H52/1000</f>
        <v>203.00597999999999</v>
      </c>
      <c r="M52" s="144"/>
      <c r="N52" s="5">
        <v>14</v>
      </c>
      <c r="O52" s="5" t="s">
        <v>223</v>
      </c>
      <c r="P52" s="9" t="s">
        <v>151</v>
      </c>
      <c r="Q52" s="8" t="s">
        <v>37</v>
      </c>
      <c r="R52" s="8">
        <v>215.89</v>
      </c>
      <c r="S52" s="129">
        <v>1000</v>
      </c>
      <c r="T52" s="129">
        <v>1000</v>
      </c>
      <c r="U52" s="129">
        <v>1000</v>
      </c>
      <c r="V52" s="129">
        <v>45</v>
      </c>
      <c r="W52" s="129">
        <v>-6</v>
      </c>
      <c r="X52" s="129">
        <v>55</v>
      </c>
      <c r="Y52" s="129">
        <f>R52*U52/1000</f>
        <v>215.89</v>
      </c>
    </row>
    <row r="53" spans="1:25" s="54" customFormat="1" ht="2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499</v>
      </c>
      <c r="J53" s="129">
        <v>59</v>
      </c>
      <c r="K53" s="129">
        <v>467</v>
      </c>
      <c r="L53" s="129">
        <f>E53*H53/1000</f>
        <v>315.22000000000003</v>
      </c>
      <c r="M53" s="144"/>
      <c r="N53" s="63" t="s">
        <v>40</v>
      </c>
      <c r="O53" s="64"/>
      <c r="P53" s="76"/>
      <c r="Q53" s="75"/>
      <c r="R53" s="75"/>
      <c r="S53" s="75"/>
      <c r="T53" s="75"/>
      <c r="U53" s="75"/>
      <c r="V53" s="75"/>
      <c r="W53" s="75"/>
      <c r="X53" s="75"/>
      <c r="Y53" s="146">
        <f>SUM(Y39:Y52)</f>
        <v>13337.429999999998</v>
      </c>
    </row>
    <row r="54" spans="1:25" s="54" customFormat="1" ht="2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141"/>
      <c r="O54" s="141"/>
      <c r="P54" s="145"/>
      <c r="Q54" s="74"/>
      <c r="R54" s="74"/>
      <c r="S54" s="74"/>
      <c r="T54" s="74"/>
      <c r="U54" s="74"/>
      <c r="V54" s="74"/>
      <c r="W54" s="74"/>
      <c r="X54" s="74"/>
      <c r="Y54" s="144"/>
    </row>
    <row r="55" spans="1:25" s="54" customFormat="1" ht="2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120</v>
      </c>
      <c r="O55" s="64"/>
      <c r="P55" s="64"/>
      <c r="Q55" s="64"/>
      <c r="R55" s="64"/>
      <c r="S55" s="64"/>
      <c r="T55" s="64"/>
      <c r="U55" s="65"/>
      <c r="V55" s="65"/>
      <c r="W55" s="65"/>
      <c r="X55" s="65"/>
      <c r="Y55" s="146">
        <f>L29</f>
        <v>260501.81</v>
      </c>
    </row>
    <row r="56" spans="1:25" s="54" customFormat="1" ht="2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63" t="s">
        <v>121</v>
      </c>
      <c r="O56" s="64"/>
      <c r="P56" s="64"/>
      <c r="Q56" s="64"/>
      <c r="R56" s="64"/>
      <c r="S56" s="64"/>
      <c r="T56" s="64"/>
      <c r="U56" s="65"/>
      <c r="V56" s="65"/>
      <c r="W56" s="65"/>
      <c r="X56" s="65"/>
      <c r="Y56" s="146">
        <f>Y35</f>
        <v>59788.242349999993</v>
      </c>
    </row>
    <row r="57" spans="1:25" s="57" customFormat="1" ht="2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131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L47</f>
        <v>14796.153800000002</v>
      </c>
    </row>
    <row r="58" spans="1:25" s="11" customFormat="1" ht="20.25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122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L54</f>
        <v>1600.92463</v>
      </c>
    </row>
    <row r="59" spans="1:25" s="11" customFormat="1" ht="20.25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125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Y53</f>
        <v>13337.429999999998</v>
      </c>
    </row>
    <row r="60" spans="1:25" s="12" customFormat="1" ht="20.25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126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v>3200</v>
      </c>
    </row>
    <row r="61" spans="1:25" s="12" customFormat="1" ht="20.25" customHeight="1" x14ac:dyDescent="0.25">
      <c r="A61" s="153"/>
      <c r="B61" s="153"/>
      <c r="C61" s="124"/>
      <c r="D61" s="154"/>
      <c r="E61" s="155"/>
      <c r="F61" s="155"/>
      <c r="G61" s="155"/>
      <c r="H61" s="156"/>
      <c r="I61" s="156"/>
      <c r="J61" s="156"/>
      <c r="K61" s="156"/>
      <c r="L61" s="157"/>
      <c r="M61" s="157"/>
      <c r="N61" s="66" t="s">
        <v>123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146">
        <f>SUM(Y55:Y60)</f>
        <v>353224.56078000006</v>
      </c>
    </row>
    <row r="62" spans="1:25" s="12" customFormat="1" ht="25.5" customHeight="1" x14ac:dyDescent="0.3">
      <c r="A62" s="56"/>
      <c r="B62" s="56"/>
      <c r="C62" s="54"/>
      <c r="D62" s="54"/>
      <c r="E62" s="54"/>
      <c r="F62" s="54"/>
      <c r="G62" s="54"/>
      <c r="H62" s="56"/>
      <c r="I62" s="56"/>
      <c r="J62" s="56"/>
      <c r="K62" s="56"/>
      <c r="L62" s="54"/>
      <c r="M62" s="54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4"/>
    </row>
    <row r="63" spans="1:25" s="11" customFormat="1" ht="14.25" customHeight="1" x14ac:dyDescent="0.3">
      <c r="A63" s="56"/>
      <c r="B63" s="56"/>
      <c r="D63" s="54"/>
      <c r="E63" s="54"/>
      <c r="F63" s="54"/>
      <c r="G63" s="54"/>
      <c r="H63" s="56"/>
      <c r="I63" s="56"/>
      <c r="J63" s="56"/>
      <c r="K63" s="56"/>
      <c r="L63" s="54"/>
      <c r="M63" s="54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4"/>
    </row>
    <row r="64" spans="1:25" ht="18" customHeight="1" x14ac:dyDescent="0.3">
      <c r="A64" s="160"/>
      <c r="B64" s="160"/>
      <c r="C64" s="58"/>
      <c r="D64" s="59"/>
      <c r="E64" s="59"/>
      <c r="F64" s="59"/>
      <c r="G64" s="59"/>
      <c r="H64" s="117"/>
      <c r="I64" s="117"/>
      <c r="J64" s="117"/>
      <c r="K64" s="117"/>
      <c r="L64" s="58"/>
      <c r="M64" s="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9"/>
    </row>
    <row r="65" spans="1:25" ht="16.8" x14ac:dyDescent="0.3">
      <c r="A65" s="84"/>
      <c r="B65" s="84"/>
      <c r="C65" s="168"/>
      <c r="D65" s="168"/>
      <c r="E65" s="168"/>
      <c r="F65" s="168"/>
      <c r="G65" s="168"/>
      <c r="H65" s="169"/>
      <c r="I65" s="169"/>
      <c r="J65" s="169"/>
      <c r="K65" s="169"/>
      <c r="L65" s="11"/>
      <c r="M65" s="11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 ht="18" x14ac:dyDescent="0.3">
      <c r="A66" s="122"/>
      <c r="B66" s="122"/>
      <c r="C66" s="162"/>
      <c r="D66" s="162"/>
      <c r="E66" s="162"/>
      <c r="F66" s="162"/>
      <c r="G66" s="162"/>
      <c r="H66" s="10"/>
      <c r="I66" s="10"/>
      <c r="J66" s="10"/>
      <c r="K66" s="10"/>
      <c r="L66" s="162"/>
      <c r="M66" s="162"/>
      <c r="N66" s="58"/>
      <c r="O66" s="58"/>
      <c r="P66" s="161"/>
      <c r="Q66" s="117"/>
      <c r="R66" s="58"/>
      <c r="S66" s="58"/>
      <c r="T66" s="58"/>
      <c r="U66" s="57"/>
      <c r="V66" s="57"/>
      <c r="W66" s="57"/>
      <c r="X66" s="57"/>
      <c r="Y66" s="60"/>
    </row>
    <row r="67" spans="1:25" ht="16.8" x14ac:dyDescent="0.3">
      <c r="A67" s="83"/>
      <c r="B67" s="83"/>
      <c r="C67" s="162"/>
      <c r="D67" s="162"/>
      <c r="E67" s="162"/>
      <c r="F67" s="162"/>
      <c r="G67" s="162"/>
      <c r="H67" s="13"/>
      <c r="I67" s="13"/>
      <c r="J67" s="13"/>
      <c r="K67" s="13"/>
      <c r="L67" s="162"/>
      <c r="M67" s="162"/>
      <c r="N67" s="58"/>
      <c r="O67" s="58"/>
      <c r="P67" s="161"/>
      <c r="Q67" s="117"/>
      <c r="R67" s="58"/>
      <c r="S67" s="58"/>
      <c r="T67" s="58"/>
      <c r="U67" s="57"/>
      <c r="V67" s="57"/>
      <c r="W67" s="57"/>
      <c r="X67" s="57"/>
      <c r="Y67" s="60"/>
    </row>
    <row r="68" spans="1:25" ht="16.8" x14ac:dyDescent="0.3">
      <c r="N68" s="11"/>
      <c r="O68" s="11"/>
      <c r="P68" s="170"/>
      <c r="Q68" s="169"/>
      <c r="R68" s="11"/>
      <c r="S68" s="11"/>
      <c r="T68" s="11"/>
      <c r="U68" s="11"/>
      <c r="V68" s="11"/>
      <c r="W68" s="11"/>
      <c r="X68" s="11"/>
      <c r="Y68" s="11"/>
    </row>
    <row r="69" spans="1:25" ht="18" x14ac:dyDescent="0.3">
      <c r="N69" s="162"/>
      <c r="O69" s="162"/>
      <c r="P69" s="163"/>
      <c r="Q69" s="10"/>
      <c r="R69" s="12"/>
      <c r="S69" s="12"/>
      <c r="T69" s="12"/>
      <c r="U69" s="162"/>
      <c r="V69" s="162"/>
      <c r="W69" s="162"/>
      <c r="X69" s="162"/>
      <c r="Y69" s="162"/>
    </row>
    <row r="70" spans="1:25" ht="18" x14ac:dyDescent="0.3">
      <c r="N70" s="162"/>
      <c r="O70" s="162"/>
      <c r="P70" s="14"/>
      <c r="Q70" s="13"/>
      <c r="R70" s="12"/>
      <c r="S70" s="12"/>
      <c r="T70" s="12"/>
      <c r="U70" s="162"/>
      <c r="V70" s="162"/>
      <c r="W70" s="162"/>
      <c r="X70" s="162"/>
      <c r="Y70" s="162"/>
    </row>
    <row r="72" spans="1:25" ht="9.75" customHeight="1" x14ac:dyDescent="0.3"/>
  </sheetData>
  <mergeCells count="2">
    <mergeCell ref="A2:Y2"/>
    <mergeCell ref="A5:Y5"/>
  </mergeCells>
  <pageMargins left="0.75" right="0.7" top="0.75" bottom="0.62" header="0.3" footer="0.3"/>
  <pageSetup paperSize="9" scale="51" orientation="portrait" r:id="rId1"/>
  <colBreaks count="1" manualBreakCount="1">
    <brk id="25" max="1048575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10" zoomScale="85" zoomScaleNormal="85" zoomScaleSheetLayoutView="85" workbookViewId="0">
      <selection activeCell="J52" sqref="J52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customWidth="1"/>
    <col min="14" max="16" width="12.88671875" style="17" customWidth="1"/>
    <col min="17" max="17" width="10.5546875" style="17" customWidth="1"/>
    <col min="18" max="18" width="15.33203125" style="17" customWidth="1"/>
    <col min="19" max="19" width="14.5546875" style="17" customWidth="1"/>
    <col min="20" max="20" width="14.88671875" style="17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283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1609810.9772727273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440000000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13.903936439147706</v>
      </c>
      <c r="D12" s="236">
        <v>6160000</v>
      </c>
      <c r="E12" s="261">
        <f>F12/$F$20*100</f>
        <v>16.119136262099776</v>
      </c>
      <c r="F12" s="237">
        <v>5412000</v>
      </c>
      <c r="G12" s="259">
        <f>H12/$U$9*100</f>
        <v>2.63</v>
      </c>
      <c r="H12" s="257">
        <f>D12+F12</f>
        <v>11572000</v>
      </c>
      <c r="I12" s="266">
        <v>2.63</v>
      </c>
      <c r="J12" s="257">
        <f>I12/100*$U$9</f>
        <v>11572000</v>
      </c>
      <c r="K12" s="270">
        <f>J12-H12</f>
        <v>0</v>
      </c>
      <c r="L12" s="238">
        <f t="shared" ref="L12:L19" si="0">F12/$F$20</f>
        <v>0.16119136262099776</v>
      </c>
      <c r="M12" s="238">
        <f>L12*100</f>
        <v>16.119136262099776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15356000</v>
      </c>
      <c r="S12" s="192">
        <f t="shared" ref="S12:S17" si="1">E12-Q12</f>
        <v>12.629136262099776</v>
      </c>
      <c r="T12" s="206">
        <f>(S12/100)*$U$9</f>
        <v>55568199.55323901</v>
      </c>
      <c r="U12" s="196">
        <f>R12+T12</f>
        <v>70924199.553239018</v>
      </c>
      <c r="V12" s="2">
        <f>K12/2</f>
        <v>0</v>
      </c>
      <c r="W12" s="208">
        <f t="shared" ref="W12:W32" si="2">(E12/100)*$U$9</f>
        <v>70924199.553239018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10.026182737450343</v>
      </c>
      <c r="D13" s="236">
        <v>4442000</v>
      </c>
      <c r="E13" s="261">
        <f t="shared" ref="E13:E19" si="4">F13/$F$20*100</f>
        <v>7.6068503350707379</v>
      </c>
      <c r="F13" s="237">
        <v>2554000</v>
      </c>
      <c r="G13" s="259">
        <f t="shared" ref="G13:G18" si="5">H13/$U$9*100</f>
        <v>1.59</v>
      </c>
      <c r="H13" s="257">
        <f t="shared" ref="H13:H19" si="6">D13+F13</f>
        <v>6996000</v>
      </c>
      <c r="I13" s="266">
        <v>1.59</v>
      </c>
      <c r="J13" s="257">
        <f>I13/100*$U$9</f>
        <v>6996000</v>
      </c>
      <c r="K13" s="270">
        <f t="shared" ref="K13:K19" si="7">J13-H13</f>
        <v>0</v>
      </c>
      <c r="L13" s="238">
        <f t="shared" si="0"/>
        <v>7.6068503350707375E-2</v>
      </c>
      <c r="M13" s="238">
        <f>L13*100</f>
        <v>7.6068503350707379</v>
      </c>
      <c r="N13" s="239">
        <v>4030000</v>
      </c>
      <c r="O13" s="239">
        <v>2156000</v>
      </c>
      <c r="P13" s="239">
        <f t="shared" ref="P13:P18" si="8">N13+O13</f>
        <v>6186000</v>
      </c>
      <c r="Q13" s="195">
        <v>1.39</v>
      </c>
      <c r="R13" s="191">
        <f t="shared" ref="R13:R20" si="9">(Q13/100)*$U$9</f>
        <v>6116000</v>
      </c>
      <c r="S13" s="192">
        <f t="shared" si="1"/>
        <v>6.2168503350707383</v>
      </c>
      <c r="T13" s="206">
        <f t="shared" ref="T13:T17" si="10">(S13/100)*$U$9</f>
        <v>27354141.474311247</v>
      </c>
      <c r="U13" s="196">
        <f t="shared" ref="U13:U17" si="11">R13+T13</f>
        <v>33470141.474311247</v>
      </c>
      <c r="V13" s="2">
        <f t="shared" ref="V13:V19" si="12">K13/2</f>
        <v>0</v>
      </c>
      <c r="W13" s="208">
        <f t="shared" si="2"/>
        <v>33470141.474311244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14.386962802455761</v>
      </c>
      <c r="D14" s="236">
        <v>6374000</v>
      </c>
      <c r="E14" s="261">
        <f t="shared" si="4"/>
        <v>13.644080416976918</v>
      </c>
      <c r="F14" s="237">
        <v>4581000</v>
      </c>
      <c r="G14" s="259">
        <f t="shared" si="5"/>
        <v>2.4897727272727272</v>
      </c>
      <c r="H14" s="257">
        <f t="shared" si="6"/>
        <v>10955000</v>
      </c>
      <c r="I14" s="266">
        <v>2.4900000000000002</v>
      </c>
      <c r="J14" s="257">
        <f t="shared" ref="J14:J19" si="13">I14/100*$U$9</f>
        <v>10956000</v>
      </c>
      <c r="K14" s="270">
        <f t="shared" si="7"/>
        <v>1000</v>
      </c>
      <c r="L14" s="238">
        <f t="shared" si="0"/>
        <v>0.13644080416976917</v>
      </c>
      <c r="M14" s="238">
        <f t="shared" ref="M14:M19" si="14">L14*100</f>
        <v>13.644080416976918</v>
      </c>
      <c r="N14" s="239">
        <v>6218000</v>
      </c>
      <c r="O14" s="239">
        <v>3480000</v>
      </c>
      <c r="P14" s="239">
        <f t="shared" si="8"/>
        <v>9698000</v>
      </c>
      <c r="Q14" s="195">
        <v>2.83</v>
      </c>
      <c r="R14" s="191">
        <f t="shared" si="9"/>
        <v>12452000.000000002</v>
      </c>
      <c r="S14" s="192">
        <f t="shared" si="1"/>
        <v>10.814080416976918</v>
      </c>
      <c r="T14" s="206">
        <f t="shared" si="10"/>
        <v>47581953.834698439</v>
      </c>
      <c r="U14" s="196">
        <f t="shared" si="11"/>
        <v>60033953.834698439</v>
      </c>
      <c r="V14" s="2">
        <f t="shared" si="12"/>
        <v>500</v>
      </c>
      <c r="W14" s="208">
        <f t="shared" si="2"/>
        <v>60033953.834698431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19.939508847959551</v>
      </c>
      <c r="D15" s="236">
        <v>8834000</v>
      </c>
      <c r="E15" s="261">
        <f t="shared" si="4"/>
        <v>16.542069992553984</v>
      </c>
      <c r="F15" s="237">
        <v>5554000</v>
      </c>
      <c r="G15" s="259">
        <f t="shared" si="5"/>
        <v>3.27</v>
      </c>
      <c r="H15" s="257">
        <f t="shared" si="6"/>
        <v>14388000</v>
      </c>
      <c r="I15" s="266">
        <v>3.27</v>
      </c>
      <c r="J15" s="257">
        <f t="shared" si="13"/>
        <v>14388000</v>
      </c>
      <c r="K15" s="270">
        <f t="shared" si="7"/>
        <v>0</v>
      </c>
      <c r="L15" s="238">
        <f t="shared" si="0"/>
        <v>0.16542069992553984</v>
      </c>
      <c r="M15" s="238">
        <f t="shared" si="14"/>
        <v>16.542069992553984</v>
      </c>
      <c r="N15" s="239">
        <v>8058000</v>
      </c>
      <c r="O15" s="239">
        <v>4708000</v>
      </c>
      <c r="P15" s="239">
        <f t="shared" si="8"/>
        <v>12766000</v>
      </c>
      <c r="Q15" s="195">
        <v>2.88</v>
      </c>
      <c r="R15" s="191">
        <f t="shared" si="9"/>
        <v>12672000</v>
      </c>
      <c r="S15" s="192">
        <f t="shared" si="1"/>
        <v>13.662069992553985</v>
      </c>
      <c r="T15" s="206">
        <f>(S15/100)*$U$9</f>
        <v>60113107.967237532</v>
      </c>
      <c r="U15" s="196">
        <f>R15+T15</f>
        <v>72785107.967237532</v>
      </c>
      <c r="V15" s="2">
        <f t="shared" si="12"/>
        <v>0</v>
      </c>
      <c r="W15" s="208">
        <f t="shared" si="2"/>
        <v>72785107.967237532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15.465872156013003</v>
      </c>
      <c r="D16" s="236">
        <v>6852000</v>
      </c>
      <c r="E16" s="261">
        <f t="shared" si="4"/>
        <v>16.679076693968728</v>
      </c>
      <c r="F16" s="237">
        <v>5600000</v>
      </c>
      <c r="G16" s="259">
        <f t="shared" si="5"/>
        <v>2.83</v>
      </c>
      <c r="H16" s="257">
        <f t="shared" si="6"/>
        <v>12452000</v>
      </c>
      <c r="I16" s="266">
        <v>2.83</v>
      </c>
      <c r="J16" s="257">
        <f t="shared" si="13"/>
        <v>12452000.000000002</v>
      </c>
      <c r="K16" s="270">
        <f t="shared" si="7"/>
        <v>0</v>
      </c>
      <c r="L16" s="238">
        <f t="shared" si="0"/>
        <v>0.16679076693968728</v>
      </c>
      <c r="M16" s="238">
        <f t="shared" si="14"/>
        <v>16.679076693968728</v>
      </c>
      <c r="N16" s="239">
        <v>8472000</v>
      </c>
      <c r="O16" s="239">
        <v>4742000</v>
      </c>
      <c r="P16" s="239">
        <f t="shared" si="8"/>
        <v>13214000</v>
      </c>
      <c r="Q16" s="195">
        <v>2.58</v>
      </c>
      <c r="R16" s="191">
        <f t="shared" si="9"/>
        <v>11352000</v>
      </c>
      <c r="S16" s="192">
        <f t="shared" si="1"/>
        <v>14.099076693968728</v>
      </c>
      <c r="T16" s="206">
        <f t="shared" si="10"/>
        <v>62035937.453462407</v>
      </c>
      <c r="U16" s="196">
        <f t="shared" si="11"/>
        <v>73387937.453462407</v>
      </c>
      <c r="V16" s="2">
        <f t="shared" si="12"/>
        <v>0</v>
      </c>
      <c r="W16" s="208">
        <f t="shared" si="2"/>
        <v>73387937.453462407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11.651318165402673</v>
      </c>
      <c r="D17" s="236">
        <v>5162000</v>
      </c>
      <c r="E17" s="261">
        <f t="shared" si="4"/>
        <v>13.063291139240507</v>
      </c>
      <c r="F17" s="237">
        <v>4386000</v>
      </c>
      <c r="G17" s="259">
        <f t="shared" si="5"/>
        <v>2.17</v>
      </c>
      <c r="H17" s="257">
        <f t="shared" si="6"/>
        <v>9548000</v>
      </c>
      <c r="I17" s="266">
        <v>2.16</v>
      </c>
      <c r="J17" s="257">
        <f t="shared" si="13"/>
        <v>9504000</v>
      </c>
      <c r="K17" s="270">
        <f t="shared" si="7"/>
        <v>-44000</v>
      </c>
      <c r="L17" s="238">
        <f t="shared" si="0"/>
        <v>0.13063291139240507</v>
      </c>
      <c r="M17" s="238">
        <f t="shared" si="14"/>
        <v>13.063291139240507</v>
      </c>
      <c r="N17" s="239">
        <v>4585000</v>
      </c>
      <c r="O17" s="239">
        <v>3860000</v>
      </c>
      <c r="P17" s="239">
        <f t="shared" si="8"/>
        <v>8445000</v>
      </c>
      <c r="Q17" s="195">
        <v>1.83</v>
      </c>
      <c r="R17" s="191">
        <f t="shared" si="9"/>
        <v>8052000</v>
      </c>
      <c r="S17" s="192">
        <f t="shared" si="1"/>
        <v>11.233291139240507</v>
      </c>
      <c r="T17" s="206">
        <f t="shared" si="10"/>
        <v>49426481.012658224</v>
      </c>
      <c r="U17" s="196">
        <f t="shared" si="11"/>
        <v>57478481.012658224</v>
      </c>
      <c r="V17" s="2">
        <f t="shared" si="12"/>
        <v>-22000</v>
      </c>
      <c r="W17" s="208">
        <f t="shared" si="2"/>
        <v>57478481.012658231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9.1639581076200791</v>
      </c>
      <c r="D18" s="236">
        <v>4060000</v>
      </c>
      <c r="E18" s="261">
        <f t="shared" si="4"/>
        <v>16.345495160089353</v>
      </c>
      <c r="F18" s="237">
        <v>5488000</v>
      </c>
      <c r="G18" s="259">
        <f t="shared" si="5"/>
        <v>2.17</v>
      </c>
      <c r="H18" s="257">
        <f t="shared" si="6"/>
        <v>9548000</v>
      </c>
      <c r="I18" s="266">
        <v>2.17</v>
      </c>
      <c r="J18" s="257">
        <f t="shared" si="13"/>
        <v>9548000</v>
      </c>
      <c r="K18" s="270">
        <f t="shared" si="7"/>
        <v>0</v>
      </c>
      <c r="L18" s="238">
        <f t="shared" si="0"/>
        <v>0.16345495160089352</v>
      </c>
      <c r="M18" s="238">
        <f t="shared" si="14"/>
        <v>16.345495160089353</v>
      </c>
      <c r="N18" s="239">
        <v>4060000</v>
      </c>
      <c r="O18" s="239">
        <v>4400000</v>
      </c>
      <c r="P18" s="239">
        <f t="shared" si="8"/>
        <v>8460000</v>
      </c>
      <c r="Q18" s="240"/>
      <c r="R18" s="241"/>
      <c r="S18" s="242"/>
      <c r="T18" s="243"/>
      <c r="U18" s="244"/>
      <c r="V18" s="2">
        <f t="shared" si="12"/>
        <v>0</v>
      </c>
      <c r="W18" s="208">
        <f t="shared" si="2"/>
        <v>71920178.704393148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5.4622607439508846</v>
      </c>
      <c r="D19" s="236">
        <v>2420000</v>
      </c>
      <c r="E19" s="261">
        <f t="shared" si="4"/>
        <v>0</v>
      </c>
      <c r="F19" s="237">
        <f t="shared" ref="F19" si="15">O19</f>
        <v>0</v>
      </c>
      <c r="G19" s="259">
        <f>H19/$U$9*100</f>
        <v>0.54999999999999993</v>
      </c>
      <c r="H19" s="257">
        <f t="shared" si="6"/>
        <v>2420000</v>
      </c>
      <c r="I19" s="266">
        <v>0.56000000000000005</v>
      </c>
      <c r="J19" s="257">
        <f t="shared" si="13"/>
        <v>2464000.0000000005</v>
      </c>
      <c r="K19" s="270">
        <f t="shared" si="7"/>
        <v>44000.000000000466</v>
      </c>
      <c r="L19" s="238">
        <f t="shared" si="0"/>
        <v>0</v>
      </c>
      <c r="M19" s="238">
        <f t="shared" si="14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2"/>
        <v>22000.000000000233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44304000</v>
      </c>
      <c r="E20" s="247">
        <f>F20/$F$20*100</f>
        <v>100</v>
      </c>
      <c r="F20" s="247">
        <f>SUM(F12:F19)</f>
        <v>33575000</v>
      </c>
      <c r="G20" s="260">
        <f>SUM(G12:G19)</f>
        <v>17.699772727272727</v>
      </c>
      <c r="H20" s="256">
        <f>SUM(H12:H19)</f>
        <v>77879000</v>
      </c>
      <c r="I20" s="267">
        <f>SUM(I12:I19)</f>
        <v>17.7</v>
      </c>
      <c r="J20" s="247">
        <f>SUM(J12:J19)</f>
        <v>77880000</v>
      </c>
      <c r="K20" s="271"/>
      <c r="L20" s="248">
        <f>O20/$U$9</f>
        <v>6.2740909090909097E-2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9"/>
        <v>66000000</v>
      </c>
      <c r="S20" s="199">
        <f>E20-Q20</f>
        <v>85</v>
      </c>
      <c r="T20" s="207">
        <f>(S20/100)*$U$9</f>
        <v>374000000</v>
      </c>
      <c r="U20" s="200">
        <f>R20+T20</f>
        <v>440000000</v>
      </c>
      <c r="W20" s="208">
        <f t="shared" si="2"/>
        <v>440000000</v>
      </c>
      <c r="X20" s="276"/>
      <c r="Z20" s="3">
        <v>77880000</v>
      </c>
      <c r="AA20" s="277">
        <f>Z20-H20</f>
        <v>1000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12760000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4400</v>
      </c>
      <c r="W22" s="208">
        <f t="shared" si="2"/>
        <v>14740000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12760000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40260000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15840000.000000002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14300000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30139999.999999996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24200000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23540000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22880000.000000004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12100000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12760000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20240000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19800000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18480000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17380000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17380000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17072000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16500000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14343999.999999998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14784000.000000002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14652000.000000002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13904000.000000002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13464000.000000002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10120000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365075000</v>
      </c>
      <c r="G47" s="252">
        <f>SUM(G20,G24,G27,G28,G29,G30,SUM(G33:G46))</f>
        <v>102.69977272727272</v>
      </c>
      <c r="H47" s="186">
        <f>SUM(H20,H24,H27,H28,H29,H30,SUM(H33:H46))</f>
        <v>409379000</v>
      </c>
      <c r="I47" s="253"/>
      <c r="J47" s="253"/>
      <c r="K47" s="253"/>
      <c r="L47" s="253"/>
      <c r="M47" s="253"/>
      <c r="N47" s="179"/>
      <c r="W47" s="254">
        <f>SUM(W20,W24,W27,W28,W29,W30,SUM(W31:W46))</f>
        <v>814000000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 t="s">
        <v>270</v>
      </c>
      <c r="J51" s="279">
        <f>D20/H20</f>
        <v>0.56888249720720607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0.43111750279279393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W63"/>
  <sheetViews>
    <sheetView view="pageBreakPreview" topLeftCell="A16" zoomScale="85" zoomScaleNormal="85" zoomScaleSheetLayoutView="85" workbookViewId="0">
      <selection activeCell="A8" sqref="A8:H8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272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14.486770954036308</v>
      </c>
      <c r="D12" s="236">
        <v>6001000</v>
      </c>
      <c r="E12" s="261">
        <f>F12/$F$20*100</f>
        <v>15.431427950445556</v>
      </c>
      <c r="F12" s="237">
        <f>O12</f>
        <v>4260000</v>
      </c>
      <c r="G12" s="259">
        <f>H12/$U$9*100</f>
        <v>2.6310256410256407</v>
      </c>
      <c r="H12" s="257">
        <f>D12+F12</f>
        <v>10261000</v>
      </c>
      <c r="I12" s="266">
        <v>2.63</v>
      </c>
      <c r="J12" s="257">
        <f>I12/100*$U$9</f>
        <v>10257000</v>
      </c>
      <c r="K12" s="270">
        <f>J12-H12</f>
        <v>-4000</v>
      </c>
      <c r="L12" s="238">
        <f t="shared" ref="L12:L19" si="0">F12/$F$20</f>
        <v>0.15431427950445556</v>
      </c>
      <c r="M12" s="238">
        <f>L12*100</f>
        <v>15.431427950445556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11.941427950445556</v>
      </c>
      <c r="T12" s="206">
        <f>(S12/100)*$U$9</f>
        <v>46571569.006737664</v>
      </c>
      <c r="U12" s="196">
        <f>R12+T12</f>
        <v>60182569.006737664</v>
      </c>
      <c r="V12" s="2">
        <f>K12/2</f>
        <v>-2000</v>
      </c>
      <c r="W12" s="208">
        <f t="shared" ref="W12:W32" si="2">(E12/100)*$U$9</f>
        <v>60182569.006737672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9.7286597141753575</v>
      </c>
      <c r="D13" s="236">
        <v>4030000</v>
      </c>
      <c r="E13" s="261">
        <f t="shared" ref="E13:E19" si="4">F13/$F$20*100</f>
        <v>7.8098963993334785</v>
      </c>
      <c r="F13" s="237">
        <f t="shared" ref="F13:F19" si="5">O13</f>
        <v>2156000</v>
      </c>
      <c r="G13" s="259">
        <f t="shared" ref="G13:G18" si="6">H13/$U$9*100</f>
        <v>1.5861538461538462</v>
      </c>
      <c r="H13" s="257">
        <f t="shared" ref="H13:H19" si="7">D13+F13</f>
        <v>6186000</v>
      </c>
      <c r="I13" s="266">
        <v>1.59</v>
      </c>
      <c r="J13" s="257">
        <f t="shared" ref="J13:J19" si="8">I13/100*$U$9</f>
        <v>6201000</v>
      </c>
      <c r="K13" s="270">
        <f t="shared" ref="K13:K19" si="9">J13-H13</f>
        <v>15000</v>
      </c>
      <c r="L13" s="238">
        <f t="shared" si="0"/>
        <v>7.8098963993334783E-2</v>
      </c>
      <c r="M13" s="238">
        <f>L13*100</f>
        <v>7.8098963993334785</v>
      </c>
      <c r="N13" s="239">
        <v>4030000</v>
      </c>
      <c r="O13" s="239">
        <v>2156000</v>
      </c>
      <c r="P13" s="239">
        <f t="shared" ref="P13:P18" si="10">N13+O13</f>
        <v>6186000</v>
      </c>
      <c r="Q13" s="195">
        <v>1.39</v>
      </c>
      <c r="R13" s="191">
        <f t="shared" ref="R13:R20" si="11">(Q13/100)*$U$9</f>
        <v>5421000</v>
      </c>
      <c r="S13" s="192">
        <f t="shared" si="1"/>
        <v>6.4198963993334788</v>
      </c>
      <c r="T13" s="206">
        <f t="shared" ref="T13:T17" si="12">(S13/100)*$U$9</f>
        <v>25037595.957400568</v>
      </c>
      <c r="U13" s="196">
        <f t="shared" ref="U13:U17" si="13">R13+T13</f>
        <v>30458595.957400568</v>
      </c>
      <c r="V13" s="2">
        <f t="shared" ref="V13:V19" si="14">K13/2</f>
        <v>7500</v>
      </c>
      <c r="W13" s="208">
        <f t="shared" si="2"/>
        <v>30458595.957400564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15.010621861722672</v>
      </c>
      <c r="D14" s="236">
        <v>6218000</v>
      </c>
      <c r="E14" s="261">
        <f t="shared" si="4"/>
        <v>12.605955227124538</v>
      </c>
      <c r="F14" s="237">
        <f t="shared" si="5"/>
        <v>3480000</v>
      </c>
      <c r="G14" s="259">
        <f t="shared" si="6"/>
        <v>2.4866666666666664</v>
      </c>
      <c r="H14" s="257">
        <f t="shared" si="7"/>
        <v>9698000</v>
      </c>
      <c r="I14" s="266">
        <v>2.4900000000000002</v>
      </c>
      <c r="J14" s="257">
        <f t="shared" si="8"/>
        <v>9711000</v>
      </c>
      <c r="K14" s="270">
        <f t="shared" si="9"/>
        <v>13000</v>
      </c>
      <c r="L14" s="238">
        <f t="shared" si="0"/>
        <v>0.12605955227124538</v>
      </c>
      <c r="M14" s="238">
        <f t="shared" ref="M14:M19" si="15">L14*100</f>
        <v>12.605955227124538</v>
      </c>
      <c r="N14" s="239">
        <v>6218000</v>
      </c>
      <c r="O14" s="239">
        <v>3480000</v>
      </c>
      <c r="P14" s="239">
        <f t="shared" si="10"/>
        <v>9698000</v>
      </c>
      <c r="Q14" s="195">
        <v>2.83</v>
      </c>
      <c r="R14" s="191">
        <f t="shared" si="11"/>
        <v>11037000</v>
      </c>
      <c r="S14" s="192">
        <f t="shared" si="1"/>
        <v>9.7759552271245376</v>
      </c>
      <c r="T14" s="206">
        <f t="shared" si="12"/>
        <v>38126225.385785699</v>
      </c>
      <c r="U14" s="196">
        <f t="shared" si="13"/>
        <v>49163225.385785699</v>
      </c>
      <c r="V14" s="2">
        <f t="shared" si="14"/>
        <v>6500</v>
      </c>
      <c r="W14" s="208">
        <f t="shared" si="2"/>
        <v>49163225.385785699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19.452491309385863</v>
      </c>
      <c r="D15" s="236">
        <v>8058000</v>
      </c>
      <c r="E15" s="261">
        <f t="shared" si="4"/>
        <v>17.054263565891471</v>
      </c>
      <c r="F15" s="237">
        <f t="shared" si="5"/>
        <v>4708000</v>
      </c>
      <c r="G15" s="259">
        <f t="shared" si="6"/>
        <v>3.2733333333333334</v>
      </c>
      <c r="H15" s="257">
        <f t="shared" si="7"/>
        <v>12766000</v>
      </c>
      <c r="I15" s="266">
        <v>3.27</v>
      </c>
      <c r="J15" s="257">
        <f t="shared" si="8"/>
        <v>12753000</v>
      </c>
      <c r="K15" s="270">
        <f t="shared" si="9"/>
        <v>-13000</v>
      </c>
      <c r="L15" s="238">
        <f t="shared" si="0"/>
        <v>0.17054263565891473</v>
      </c>
      <c r="M15" s="238">
        <f t="shared" si="15"/>
        <v>17.054263565891471</v>
      </c>
      <c r="N15" s="239">
        <v>8058000</v>
      </c>
      <c r="O15" s="239">
        <v>4708000</v>
      </c>
      <c r="P15" s="239">
        <f t="shared" si="10"/>
        <v>12766000</v>
      </c>
      <c r="Q15" s="195">
        <v>2.88</v>
      </c>
      <c r="R15" s="191">
        <f t="shared" si="11"/>
        <v>11232000</v>
      </c>
      <c r="S15" s="192">
        <f t="shared" si="1"/>
        <v>14.174263565891472</v>
      </c>
      <c r="T15" s="206">
        <f>(S15/100)*$U$9</f>
        <v>55279627.906976745</v>
      </c>
      <c r="U15" s="196">
        <f>R15+T15</f>
        <v>66511627.906976745</v>
      </c>
      <c r="V15" s="2">
        <f t="shared" si="14"/>
        <v>-6500</v>
      </c>
      <c r="W15" s="208">
        <f t="shared" si="2"/>
        <v>66511627.90697673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15.213402858246427</v>
      </c>
      <c r="D16" s="236">
        <v>6302000</v>
      </c>
      <c r="E16" s="261">
        <f t="shared" si="4"/>
        <v>17.177425197420852</v>
      </c>
      <c r="F16" s="237">
        <f t="shared" si="5"/>
        <v>4742000</v>
      </c>
      <c r="G16" s="259">
        <f t="shared" si="6"/>
        <v>2.8317948717948718</v>
      </c>
      <c r="H16" s="257">
        <f t="shared" si="7"/>
        <v>11044000</v>
      </c>
      <c r="I16" s="266">
        <v>2.83</v>
      </c>
      <c r="J16" s="257">
        <f t="shared" si="8"/>
        <v>11037000</v>
      </c>
      <c r="K16" s="270">
        <f t="shared" si="9"/>
        <v>-7000</v>
      </c>
      <c r="L16" s="238">
        <f t="shared" si="0"/>
        <v>0.17177425197420851</v>
      </c>
      <c r="M16" s="238">
        <f t="shared" si="15"/>
        <v>17.177425197420852</v>
      </c>
      <c r="N16" s="239">
        <v>8472000</v>
      </c>
      <c r="O16" s="239">
        <v>4742000</v>
      </c>
      <c r="P16" s="239">
        <f t="shared" si="10"/>
        <v>13214000</v>
      </c>
      <c r="Q16" s="195">
        <v>2.58</v>
      </c>
      <c r="R16" s="191">
        <f t="shared" si="11"/>
        <v>10062000</v>
      </c>
      <c r="S16" s="192">
        <f t="shared" si="1"/>
        <v>14.597425197420852</v>
      </c>
      <c r="T16" s="206">
        <f t="shared" si="12"/>
        <v>56929958.269941323</v>
      </c>
      <c r="U16" s="196">
        <f t="shared" si="13"/>
        <v>66991958.269941323</v>
      </c>
      <c r="V16" s="2">
        <f t="shared" si="14"/>
        <v>-3500</v>
      </c>
      <c r="W16" s="208">
        <f t="shared" si="2"/>
        <v>66991958.26994133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11.068462726921592</v>
      </c>
      <c r="D17" s="236">
        <v>4585000</v>
      </c>
      <c r="E17" s="261">
        <f t="shared" si="4"/>
        <v>13.982467579511701</v>
      </c>
      <c r="F17" s="237">
        <f t="shared" si="5"/>
        <v>3860000</v>
      </c>
      <c r="G17" s="259">
        <f t="shared" si="6"/>
        <v>2.1653846153846157</v>
      </c>
      <c r="H17" s="257">
        <f t="shared" si="7"/>
        <v>8445000</v>
      </c>
      <c r="I17" s="266">
        <v>2.16</v>
      </c>
      <c r="J17" s="257">
        <f t="shared" si="8"/>
        <v>8424000</v>
      </c>
      <c r="K17" s="270">
        <f t="shared" si="9"/>
        <v>-21000</v>
      </c>
      <c r="L17" s="238">
        <f t="shared" si="0"/>
        <v>0.13982467579511701</v>
      </c>
      <c r="M17" s="238">
        <f t="shared" si="15"/>
        <v>13.982467579511701</v>
      </c>
      <c r="N17" s="239">
        <v>4585000</v>
      </c>
      <c r="O17" s="239">
        <v>3860000</v>
      </c>
      <c r="P17" s="239">
        <f t="shared" si="10"/>
        <v>8445000</v>
      </c>
      <c r="Q17" s="195">
        <v>1.83</v>
      </c>
      <c r="R17" s="191">
        <f t="shared" si="11"/>
        <v>7137000</v>
      </c>
      <c r="S17" s="192">
        <f t="shared" si="1"/>
        <v>12.152467579511701</v>
      </c>
      <c r="T17" s="206">
        <f t="shared" si="12"/>
        <v>47394623.560095631</v>
      </c>
      <c r="U17" s="196">
        <f t="shared" si="13"/>
        <v>54531623.560095631</v>
      </c>
      <c r="V17" s="2">
        <f t="shared" si="14"/>
        <v>-10500</v>
      </c>
      <c r="W17" s="208">
        <f t="shared" si="2"/>
        <v>54531623.560095631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9.8010814986481272</v>
      </c>
      <c r="D18" s="236">
        <v>4060000</v>
      </c>
      <c r="E18" s="261">
        <f t="shared" si="4"/>
        <v>15.938564080272405</v>
      </c>
      <c r="F18" s="237">
        <f t="shared" si="5"/>
        <v>4400000</v>
      </c>
      <c r="G18" s="259">
        <f t="shared" si="6"/>
        <v>2.1692307692307691</v>
      </c>
      <c r="H18" s="257">
        <f t="shared" si="7"/>
        <v>8460000</v>
      </c>
      <c r="I18" s="266">
        <v>2.17</v>
      </c>
      <c r="J18" s="257">
        <f t="shared" si="8"/>
        <v>8463000</v>
      </c>
      <c r="K18" s="270">
        <f t="shared" si="9"/>
        <v>3000</v>
      </c>
      <c r="L18" s="238">
        <f t="shared" si="0"/>
        <v>0.15938564080272405</v>
      </c>
      <c r="M18" s="238">
        <f t="shared" si="15"/>
        <v>15.938564080272405</v>
      </c>
      <c r="N18" s="239">
        <v>4060000</v>
      </c>
      <c r="O18" s="239">
        <v>4400000</v>
      </c>
      <c r="P18" s="239">
        <f t="shared" si="10"/>
        <v>8460000</v>
      </c>
      <c r="Q18" s="240"/>
      <c r="R18" s="241"/>
      <c r="S18" s="242"/>
      <c r="T18" s="243"/>
      <c r="U18" s="244"/>
      <c r="V18" s="2">
        <f t="shared" si="14"/>
        <v>1500</v>
      </c>
      <c r="W18" s="208">
        <f t="shared" si="2"/>
        <v>62160399.913062379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5.2385090768636537</v>
      </c>
      <c r="D19" s="236">
        <v>2170000</v>
      </c>
      <c r="E19" s="261">
        <f t="shared" si="4"/>
        <v>0</v>
      </c>
      <c r="F19" s="237">
        <f t="shared" si="5"/>
        <v>0</v>
      </c>
      <c r="G19" s="259">
        <f>H19/$U$9*100</f>
        <v>0.55641025641025632</v>
      </c>
      <c r="H19" s="257">
        <f t="shared" si="7"/>
        <v>2170000</v>
      </c>
      <c r="I19" s="266">
        <v>0.56000000000000005</v>
      </c>
      <c r="J19" s="257">
        <f t="shared" si="8"/>
        <v>2184000.0000000005</v>
      </c>
      <c r="K19" s="270">
        <f t="shared" si="9"/>
        <v>14000.000000000466</v>
      </c>
      <c r="L19" s="238">
        <f t="shared" si="0"/>
        <v>0</v>
      </c>
      <c r="M19" s="238">
        <f t="shared" si="15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4"/>
        <v>7000.0000000002328</v>
      </c>
      <c r="W19" s="208">
        <f t="shared" si="2"/>
        <v>0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41424000</v>
      </c>
      <c r="E20" s="247">
        <f>F20/$F$20*100</f>
        <v>100</v>
      </c>
      <c r="F20" s="247">
        <f>SUM(F12:F19)</f>
        <v>27606000</v>
      </c>
      <c r="G20" s="260">
        <f>SUM(G12:G19)</f>
        <v>17.7</v>
      </c>
      <c r="H20" s="256">
        <f>SUM(H12:H19)</f>
        <v>69030000</v>
      </c>
      <c r="I20" s="267">
        <f>SUM(I12:I19)</f>
        <v>17.7</v>
      </c>
      <c r="J20" s="247">
        <f>SUM(J12:J19)</f>
        <v>69030000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1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359106000</v>
      </c>
      <c r="G47" s="252">
        <f>SUM(G20,G24,G27,G28,G29,G30,SUM(G33:G46))</f>
        <v>102.69999999999999</v>
      </c>
      <c r="H47" s="186">
        <f>SUM(H20,H24,H27,H28,H29,H30,SUM(H33:H46))</f>
        <v>400530000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4"/>
  <sheetViews>
    <sheetView showGridLines="0" view="pageBreakPreview" zoomScale="115" zoomScaleNormal="100" zoomScaleSheetLayoutView="115" workbookViewId="0">
      <selection activeCell="E14" sqref="E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264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hidden="1" customHeight="1" x14ac:dyDescent="0.25">
      <c r="A8" s="37"/>
      <c r="B8" s="101" t="s">
        <v>79</v>
      </c>
      <c r="C8" s="102"/>
      <c r="D8" s="217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hidden="1" customHeight="1" x14ac:dyDescent="0.25">
      <c r="A9" s="37"/>
      <c r="B9" s="101" t="s">
        <v>80</v>
      </c>
      <c r="C9" s="102"/>
      <c r="D9" s="217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hidden="1" customHeight="1" x14ac:dyDescent="0.25">
      <c r="A10" s="37"/>
      <c r="B10" s="101" t="s">
        <v>81</v>
      </c>
      <c r="C10" s="102"/>
      <c r="D10" s="217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hidden="1" customHeight="1" x14ac:dyDescent="0.25">
      <c r="A11" s="37"/>
      <c r="B11" s="101" t="s">
        <v>82</v>
      </c>
      <c r="C11" s="102"/>
      <c r="D11" s="217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hidden="1" customHeight="1" x14ac:dyDescent="0.25">
      <c r="A12" s="37"/>
      <c r="B12" s="101" t="s">
        <v>83</v>
      </c>
      <c r="C12" s="102"/>
      <c r="D12" s="217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hidden="1" customHeight="1" x14ac:dyDescent="0.25">
      <c r="A13" s="37"/>
      <c r="B13" s="101" t="s">
        <v>84</v>
      </c>
      <c r="C13" s="102"/>
      <c r="D13" s="217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218">
        <v>17.7</v>
      </c>
      <c r="E14" s="44">
        <f>(D14/100)*$L$6</f>
        <v>69030000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2.6999999999999993</v>
      </c>
      <c r="K14" s="207">
        <f>(J14/100)*$L$6</f>
        <v>10529999.999999996</v>
      </c>
      <c r="L14" s="200">
        <f>I14+K14</f>
        <v>69030000</v>
      </c>
      <c r="N14" s="208">
        <f t="shared" si="5"/>
        <v>69030000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L16" s="213">
        <f>L6*D14%/100000</f>
        <v>690.3</v>
      </c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>(D21/100)*$L$6</f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>
        <v>6</v>
      </c>
      <c r="B24" s="101" t="s">
        <v>93</v>
      </c>
      <c r="C24" s="211"/>
      <c r="D24" s="38">
        <v>5.2</v>
      </c>
      <c r="E24" s="43">
        <f>(D24/100)*$L$6</f>
        <v>20280000</v>
      </c>
      <c r="F24" s="35"/>
      <c r="H24" s="19"/>
      <c r="N24" s="208">
        <f t="shared" si="5"/>
        <v>20280000</v>
      </c>
    </row>
    <row r="25" spans="1:14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(D25/100)*$L$6</f>
        <v>10725000</v>
      </c>
      <c r="F25" s="19"/>
      <c r="H25" s="19"/>
      <c r="N25" s="208">
        <f>(D25/100)*$L$6</f>
        <v>10725000</v>
      </c>
    </row>
    <row r="26" spans="1:14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(D26/100)*$L$6</f>
        <v>11310000</v>
      </c>
      <c r="F26" s="19"/>
      <c r="H26" s="19"/>
      <c r="N26" s="208">
        <f>(D26/100)*$L$6</f>
        <v>11310000</v>
      </c>
    </row>
    <row r="27" spans="1:14" s="3" customFormat="1" ht="18" customHeight="1" x14ac:dyDescent="0.25">
      <c r="A27" s="214">
        <v>7</v>
      </c>
      <c r="B27" s="405" t="s">
        <v>267</v>
      </c>
      <c r="C27" s="406"/>
      <c r="D27" s="41">
        <f>D25+D26</f>
        <v>5.65</v>
      </c>
      <c r="E27" s="44">
        <f>(D27/100)*$L$6</f>
        <v>22035000</v>
      </c>
      <c r="F27" s="19"/>
      <c r="H27" s="19"/>
      <c r="N27" s="208"/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212"/>
      <c r="D34" s="38">
        <v>3.75</v>
      </c>
      <c r="E34" s="43">
        <f t="shared" si="6"/>
        <v>14625000</v>
      </c>
      <c r="F34" s="35"/>
      <c r="N34" s="208">
        <f t="shared" si="5"/>
        <v>14625000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3.26</v>
      </c>
      <c r="E35" s="43">
        <f t="shared" si="6"/>
        <v>12713999.999999998</v>
      </c>
      <c r="N35" s="208">
        <f t="shared" si="5"/>
        <v>12713999.999999998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263</v>
      </c>
      <c r="C41" s="114"/>
      <c r="D41" s="215">
        <f>SUM(D14,D18,D21,D22,D23,D24,SUM(D27:D40))</f>
        <v>102.69999999999999</v>
      </c>
      <c r="E41" s="47">
        <f>SUM(E14,E18,E21,E22,E23,E24,SUM(E27:E40))</f>
        <v>400530000</v>
      </c>
      <c r="F41" s="179"/>
      <c r="N41" s="209">
        <f>SUM(N14,N18,N21,N22,N23,N24,SUM(N25:N40))</f>
        <v>400530000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8"/>
      <c r="C43" s="48"/>
      <c r="D43" s="21"/>
      <c r="E43" s="49"/>
    </row>
    <row r="44" spans="1:14" x14ac:dyDescent="0.25">
      <c r="A44" s="31"/>
      <c r="B44" s="31"/>
      <c r="C44" s="31"/>
    </row>
    <row r="45" spans="1:14" x14ac:dyDescent="0.25">
      <c r="A45" s="31"/>
      <c r="B45" s="31"/>
      <c r="C45" s="31"/>
    </row>
    <row r="46" spans="1:14" ht="15.6" x14ac:dyDescent="0.25">
      <c r="A46" s="31"/>
      <c r="B46" s="1"/>
      <c r="E46" s="1"/>
    </row>
    <row r="47" spans="1:14" ht="26.25" customHeight="1" x14ac:dyDescent="0.25">
      <c r="A47" s="31"/>
      <c r="B47" s="1"/>
      <c r="E47" s="1"/>
    </row>
    <row r="48" spans="1:14" ht="15.6" x14ac:dyDescent="0.25">
      <c r="B48" s="2"/>
      <c r="E48" s="3"/>
    </row>
    <row r="49" spans="1:5" ht="15.6" x14ac:dyDescent="0.25">
      <c r="B49" s="1"/>
      <c r="E49" s="1"/>
    </row>
    <row r="50" spans="1:5" s="24" customFormat="1" ht="15.6" x14ac:dyDescent="0.25">
      <c r="B50" s="4"/>
      <c r="D50" s="32"/>
      <c r="E50" s="4"/>
    </row>
    <row r="51" spans="1:5" s="24" customFormat="1" ht="24" customHeight="1" x14ac:dyDescent="0.25">
      <c r="A51" s="18"/>
      <c r="B51" s="1"/>
      <c r="D51" s="32"/>
      <c r="E51" s="1"/>
    </row>
    <row r="52" spans="1:5" s="24" customFormat="1" x14ac:dyDescent="0.25">
      <c r="A52" s="18"/>
      <c r="B52" s="18"/>
      <c r="C52" s="18"/>
      <c r="D52" s="32"/>
    </row>
    <row r="54" spans="1:5" ht="11.25" customHeight="1" x14ac:dyDescent="0.25"/>
  </sheetData>
  <mergeCells count="3">
    <mergeCell ref="A5:E5"/>
    <mergeCell ref="B21:C21"/>
    <mergeCell ref="B27:C27"/>
  </mergeCells>
  <printOptions horizontalCentered="1"/>
  <pageMargins left="0.5" right="0.7" top="0.37" bottom="0.32" header="0.3" footer="0.3"/>
  <pageSetup paperSize="9" scale="90" fitToWidth="0" orientation="portrait" verticalDpi="12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4"/>
  <sheetViews>
    <sheetView showGridLines="0" view="pageBreakPreview" zoomScaleNormal="100" zoomScaleSheetLayoutView="100" workbookViewId="0">
      <selection activeCell="D14" sqref="D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264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4">
        <f>(D14/100)*$L$6</f>
        <v>60255000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0.45000000000000107</v>
      </c>
      <c r="K14" s="207">
        <f>(J14/100)*$L$6</f>
        <v>1755000.0000000042</v>
      </c>
      <c r="L14" s="200">
        <f>I14+K14</f>
        <v>60255000.000000007</v>
      </c>
      <c r="N14" s="208">
        <f t="shared" si="5"/>
        <v>60255000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6"/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6"/>
        <v>9945000</v>
      </c>
      <c r="F24" s="19"/>
      <c r="H24" s="19"/>
      <c r="N24" s="208">
        <f t="shared" si="5"/>
        <v>9945000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6"/>
        <v>10140000</v>
      </c>
      <c r="F25" s="19"/>
      <c r="H25" s="19"/>
      <c r="N25" s="208">
        <f t="shared" si="5"/>
        <v>10140000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6"/>
        <v>20085000</v>
      </c>
      <c r="F26" s="19"/>
      <c r="H26" s="19"/>
      <c r="N26" s="208">
        <f t="shared" si="5"/>
        <v>20085000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6"/>
        <v>19929000.000000004</v>
      </c>
      <c r="F27" s="19"/>
      <c r="H27" s="19"/>
      <c r="N27" s="208">
        <f t="shared" si="5"/>
        <v>19929000.000000004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6"/>
        <v>14820000</v>
      </c>
      <c r="N34" s="208">
        <f t="shared" si="5"/>
        <v>14820000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6"/>
        <v>14820000</v>
      </c>
      <c r="N35" s="208">
        <f t="shared" si="5"/>
        <v>14820000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263</v>
      </c>
      <c r="C41" s="114"/>
      <c r="D41" s="46">
        <f>SUM(D26:D40)+D14+D18+D21+D22+D23</f>
        <v>100.44999999999999</v>
      </c>
      <c r="E41" s="47">
        <f>SUM(E14,E18,E21,E22,E23,E26,SUM(E27:E40))</f>
        <v>391755000</v>
      </c>
      <c r="F41" s="179"/>
      <c r="N41" s="209">
        <f>SUM(N14,N18,N21,N22,N23,N26,SUM(N27:N40))</f>
        <v>391755000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8"/>
      <c r="C43" s="48"/>
      <c r="D43" s="21"/>
      <c r="E43" s="49"/>
    </row>
    <row r="44" spans="1:14" x14ac:dyDescent="0.25">
      <c r="A44" s="31"/>
      <c r="B44" s="31"/>
      <c r="C44" s="31"/>
    </row>
    <row r="45" spans="1:14" x14ac:dyDescent="0.25">
      <c r="A45" s="31"/>
      <c r="B45" s="31"/>
      <c r="C45" s="31"/>
    </row>
    <row r="46" spans="1:14" ht="15.6" x14ac:dyDescent="0.25">
      <c r="A46" s="31"/>
      <c r="B46" s="1"/>
      <c r="E46" s="1"/>
    </row>
    <row r="47" spans="1:14" ht="26.25" customHeight="1" x14ac:dyDescent="0.25">
      <c r="A47" s="31"/>
      <c r="B47" s="1"/>
      <c r="E47" s="1"/>
    </row>
    <row r="48" spans="1:14" ht="15.6" x14ac:dyDescent="0.25">
      <c r="B48" s="2"/>
      <c r="E48" s="3"/>
    </row>
    <row r="49" spans="1:5" ht="15.6" x14ac:dyDescent="0.25">
      <c r="B49" s="1"/>
      <c r="E49" s="1"/>
    </row>
    <row r="50" spans="1:5" s="24" customFormat="1" ht="15.6" x14ac:dyDescent="0.25">
      <c r="B50" s="4"/>
      <c r="D50" s="32"/>
      <c r="E50" s="4"/>
    </row>
    <row r="51" spans="1:5" s="24" customFormat="1" ht="24" customHeight="1" x14ac:dyDescent="0.25">
      <c r="A51" s="18"/>
      <c r="B51" s="1"/>
      <c r="D51" s="32"/>
      <c r="E51" s="1"/>
    </row>
    <row r="52" spans="1:5" s="24" customFormat="1" x14ac:dyDescent="0.25">
      <c r="A52" s="18"/>
      <c r="B52" s="18"/>
      <c r="C52" s="18"/>
      <c r="D52" s="32"/>
    </row>
    <row r="54" spans="1:5" ht="11.25" customHeight="1" x14ac:dyDescent="0.25"/>
  </sheetData>
  <mergeCells count="2">
    <mergeCell ref="A5:E5"/>
    <mergeCell ref="B21:C21"/>
  </mergeCells>
  <printOptions horizontalCentered="1"/>
  <pageMargins left="0.5" right="0.7" top="0.37" bottom="0.32" header="0.3" footer="0.3"/>
  <pageSetup paperSize="9" scale="90" fitToWidth="0" orientation="portrait" verticalDpi="12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8"/>
  <sheetViews>
    <sheetView showGridLines="0" view="pageBreakPreview" topLeftCell="A31" zoomScaleNormal="100" zoomScaleSheetLayoutView="100" workbookViewId="0">
      <selection activeCell="D26" sqref="D2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262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4">
        <f>(D14/100)*$L$6</f>
        <v>60255000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0.45000000000000107</v>
      </c>
      <c r="K14" s="207">
        <f>(J14/100)*$L$6</f>
        <v>1755000.0000000042</v>
      </c>
      <c r="L14" s="200">
        <f>I14+K14</f>
        <v>60255000.000000007</v>
      </c>
      <c r="N14" s="208">
        <f t="shared" si="5"/>
        <v>60255000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6"/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6"/>
        <v>9945000</v>
      </c>
      <c r="F24" s="19"/>
      <c r="H24" s="19"/>
      <c r="N24" s="208">
        <f t="shared" si="5"/>
        <v>9945000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6"/>
        <v>10140000</v>
      </c>
      <c r="F25" s="19"/>
      <c r="H25" s="19"/>
      <c r="N25" s="208">
        <f t="shared" si="5"/>
        <v>10140000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6"/>
        <v>20085000</v>
      </c>
      <c r="F26" s="216">
        <f>D26+0.05</f>
        <v>5.2</v>
      </c>
      <c r="H26" s="19"/>
      <c r="N26" s="208">
        <f t="shared" si="5"/>
        <v>20085000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6"/>
        <v>19929000.000000004</v>
      </c>
      <c r="F27" s="19"/>
      <c r="H27" s="19"/>
      <c r="N27" s="208">
        <f t="shared" si="5"/>
        <v>19929000.000000004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6"/>
        <v>14820000</v>
      </c>
      <c r="F34" s="35">
        <f>D34-0.05</f>
        <v>3.75</v>
      </c>
      <c r="N34" s="208">
        <f t="shared" si="5"/>
        <v>14820000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6"/>
        <v>14820000</v>
      </c>
      <c r="N35" s="208">
        <f t="shared" si="5"/>
        <v>14820000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f>SUM(E14,E18,E21,E22,E23,E26,SUM(E27:E40))</f>
        <v>391755000</v>
      </c>
      <c r="F41" s="179"/>
      <c r="N41" s="209">
        <f>SUM(N14,N18,N21,N22,N23,N26,SUM(N27:N40))</f>
        <v>391755000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1249550</v>
      </c>
      <c r="F43" s="62"/>
    </row>
    <row r="44" spans="1:14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2100450</v>
      </c>
    </row>
    <row r="45" spans="1:14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3350000</v>
      </c>
    </row>
    <row r="46" spans="1:14" ht="18" customHeight="1" x14ac:dyDescent="0.25">
      <c r="A46" s="48"/>
      <c r="B46" s="48"/>
      <c r="C46" s="48"/>
      <c r="D46" s="21"/>
      <c r="E46" s="49"/>
    </row>
    <row r="47" spans="1:14" ht="18" customHeight="1" x14ac:dyDescent="0.25">
      <c r="A47" s="48"/>
      <c r="B47" s="48"/>
      <c r="C47" s="51" t="s">
        <v>108</v>
      </c>
      <c r="D47" s="52"/>
      <c r="E47" s="100">
        <f>E41+E45</f>
        <v>395105000</v>
      </c>
      <c r="F47" s="210">
        <f>E47/100000</f>
        <v>3951.05</v>
      </c>
      <c r="G47" s="62">
        <f>'[1]Product Target Sep''22 F (2)'!$Y$59</f>
        <v>3799.3742197999995</v>
      </c>
      <c r="H47" s="210">
        <f>F47-G47</f>
        <v>151.67578020000064</v>
      </c>
    </row>
    <row r="48" spans="1:14" x14ac:dyDescent="0.25">
      <c r="A48" s="31"/>
      <c r="B48" s="31"/>
      <c r="C48" s="31"/>
    </row>
    <row r="49" spans="1:5" x14ac:dyDescent="0.25">
      <c r="A49" s="31"/>
      <c r="B49" s="31"/>
      <c r="C49" s="31"/>
    </row>
    <row r="50" spans="1:5" ht="15.6" x14ac:dyDescent="0.25">
      <c r="A50" s="31"/>
      <c r="B50" s="1"/>
      <c r="E50" s="1"/>
    </row>
    <row r="51" spans="1:5" ht="26.25" customHeight="1" x14ac:dyDescent="0.25">
      <c r="A51" s="31"/>
      <c r="B51" s="1"/>
      <c r="E51" s="1"/>
    </row>
    <row r="52" spans="1:5" ht="15.6" x14ac:dyDescent="0.25">
      <c r="B52" s="2"/>
      <c r="E52" s="3"/>
    </row>
    <row r="53" spans="1:5" ht="15.6" x14ac:dyDescent="0.25">
      <c r="B53" s="1"/>
      <c r="E53" s="1"/>
    </row>
    <row r="54" spans="1:5" s="24" customFormat="1" ht="15.6" x14ac:dyDescent="0.25">
      <c r="B54" s="4"/>
      <c r="D54" s="32"/>
      <c r="E54" s="4"/>
    </row>
    <row r="55" spans="1:5" s="24" customFormat="1" ht="24" customHeight="1" x14ac:dyDescent="0.25">
      <c r="A55" s="18"/>
      <c r="B55" s="1"/>
      <c r="D55" s="32"/>
      <c r="E55" s="1"/>
    </row>
    <row r="56" spans="1:5" s="24" customFormat="1" x14ac:dyDescent="0.25">
      <c r="A56" s="18"/>
      <c r="B56" s="18"/>
      <c r="C56" s="18"/>
      <c r="D56" s="32"/>
    </row>
    <row r="58" spans="1:5" ht="11.25" customHeight="1" x14ac:dyDescent="0.25"/>
  </sheetData>
  <mergeCells count="3">
    <mergeCell ref="A5:E5"/>
    <mergeCell ref="B21:C21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8"/>
  <sheetViews>
    <sheetView showGridLines="0" view="pageBreakPreview" zoomScaleNormal="100" zoomScaleSheetLayoutView="100" workbookViewId="0">
      <selection activeCell="L6" sqref="L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2.8867187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bestFit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256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365000000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39">
        <v>13019550</v>
      </c>
      <c r="F8" s="177"/>
      <c r="H8" s="201">
        <v>3.49</v>
      </c>
      <c r="I8" s="191">
        <f>(H8/100)*$L$6</f>
        <v>12738500</v>
      </c>
      <c r="J8" s="192">
        <f>D8-H8</f>
        <v>7.6999999999999957E-2</v>
      </c>
      <c r="K8" s="206">
        <f>(J8/100)*$L$6</f>
        <v>281049.99999999983</v>
      </c>
      <c r="L8" s="196">
        <f>I8+K8</f>
        <v>13019550</v>
      </c>
      <c r="N8" s="208">
        <f>(D8/100)*$L$6</f>
        <v>13019550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39">
        <v>5073500</v>
      </c>
      <c r="F9" s="177"/>
      <c r="H9" s="195">
        <v>1.39</v>
      </c>
      <c r="I9" s="191">
        <f t="shared" ref="I9:I14" si="0">(H9/100)*$L$6</f>
        <v>5073500</v>
      </c>
      <c r="J9" s="192">
        <f t="shared" ref="J9:J14" si="1">D9-H9</f>
        <v>0</v>
      </c>
      <c r="K9" s="206">
        <f t="shared" ref="K9:K13" si="2">(J9/100)*$L$6</f>
        <v>0</v>
      </c>
      <c r="L9" s="196">
        <f t="shared" ref="L9:L14" si="3">I9+K9</f>
        <v>5073500</v>
      </c>
      <c r="N9" s="208">
        <f t="shared" ref="N9:N40" si="4">(D9/100)*$L$6</f>
        <v>5073500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39">
        <v>10636100</v>
      </c>
      <c r="F10" s="177"/>
      <c r="H10" s="195">
        <v>2.83</v>
      </c>
      <c r="I10" s="191">
        <f t="shared" si="0"/>
        <v>10329500</v>
      </c>
      <c r="J10" s="192">
        <f t="shared" si="1"/>
        <v>8.4000000000000075E-2</v>
      </c>
      <c r="K10" s="206">
        <f t="shared" si="2"/>
        <v>306600.00000000029</v>
      </c>
      <c r="L10" s="196">
        <f t="shared" si="3"/>
        <v>10636100</v>
      </c>
      <c r="N10" s="208">
        <f t="shared" si="4"/>
        <v>10636100.000000002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39">
        <v>10760200</v>
      </c>
      <c r="F11" s="177"/>
      <c r="H11" s="195">
        <v>2.88</v>
      </c>
      <c r="I11" s="191">
        <f t="shared" si="0"/>
        <v>10512000</v>
      </c>
      <c r="J11" s="192">
        <f t="shared" si="1"/>
        <v>6.800000000000006E-2</v>
      </c>
      <c r="K11" s="206">
        <f t="shared" si="2"/>
        <v>248200.0000000002</v>
      </c>
      <c r="L11" s="196">
        <f t="shared" si="3"/>
        <v>10760200</v>
      </c>
      <c r="N11" s="208">
        <f t="shared" si="4"/>
        <v>10760200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39">
        <v>9811200</v>
      </c>
      <c r="F12" s="177"/>
      <c r="H12" s="195">
        <v>2.58</v>
      </c>
      <c r="I12" s="191">
        <f t="shared" si="0"/>
        <v>9417000</v>
      </c>
      <c r="J12" s="192">
        <f t="shared" si="1"/>
        <v>0.1080000000000001</v>
      </c>
      <c r="K12" s="206">
        <f t="shared" si="2"/>
        <v>394200.00000000035</v>
      </c>
      <c r="L12" s="196">
        <f t="shared" si="3"/>
        <v>9811200</v>
      </c>
      <c r="N12" s="208">
        <f t="shared" si="4"/>
        <v>9811200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39">
        <v>7091950</v>
      </c>
      <c r="F13" s="177"/>
      <c r="H13" s="195">
        <v>1.83</v>
      </c>
      <c r="I13" s="191">
        <f t="shared" si="0"/>
        <v>6679500</v>
      </c>
      <c r="J13" s="192">
        <f t="shared" si="1"/>
        <v>0.11299999999999999</v>
      </c>
      <c r="K13" s="206">
        <f t="shared" si="2"/>
        <v>412450</v>
      </c>
      <c r="L13" s="196">
        <f t="shared" si="3"/>
        <v>7091950</v>
      </c>
      <c r="N13" s="208">
        <f t="shared" si="4"/>
        <v>7091950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2">
        <v>56392500.000000007</v>
      </c>
      <c r="F14" s="177"/>
      <c r="H14" s="197">
        <f>SUM(H8:H13)</f>
        <v>15</v>
      </c>
      <c r="I14" s="198">
        <f t="shared" si="0"/>
        <v>54750000</v>
      </c>
      <c r="J14" s="199">
        <f t="shared" si="1"/>
        <v>0.45000000000000107</v>
      </c>
      <c r="K14" s="207">
        <f>(J14/100)*$L$6</f>
        <v>1642500.000000004</v>
      </c>
      <c r="L14" s="200">
        <f t="shared" si="3"/>
        <v>56392500.000000007</v>
      </c>
      <c r="N14" s="208">
        <f t="shared" si="4"/>
        <v>56392500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10585000</v>
      </c>
      <c r="F15" s="26"/>
      <c r="H15" s="107"/>
      <c r="N15" s="208">
        <f t="shared" si="4"/>
        <v>10585000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5">(D16/100)*$L$6</f>
        <v>12227500</v>
      </c>
      <c r="F16" s="26"/>
      <c r="H16" s="107"/>
      <c r="N16" s="208">
        <f t="shared" si="4"/>
        <v>12227500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5"/>
        <v>10585000</v>
      </c>
      <c r="F17" s="26"/>
      <c r="H17" s="107"/>
      <c r="J17" s="27"/>
      <c r="N17" s="208">
        <f t="shared" si="4"/>
        <v>10585000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33397500</v>
      </c>
      <c r="F18" s="19"/>
      <c r="H18" s="19"/>
      <c r="N18" s="208">
        <f t="shared" si="4"/>
        <v>33397500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5"/>
        <v>13140000.000000002</v>
      </c>
      <c r="F19" s="19"/>
      <c r="H19" s="19"/>
      <c r="N19" s="208">
        <f t="shared" si="4"/>
        <v>13140000.000000002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5"/>
        <v>11862500</v>
      </c>
      <c r="F20" s="19"/>
      <c r="H20" s="19"/>
      <c r="N20" s="208">
        <f t="shared" si="4"/>
        <v>11862500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5"/>
        <v>25002499.999999996</v>
      </c>
      <c r="F21" s="19"/>
      <c r="H21" s="19"/>
      <c r="N21" s="208">
        <f t="shared" si="4"/>
        <v>25002499.999999996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5"/>
        <v>20075000</v>
      </c>
      <c r="F22" s="19"/>
      <c r="H22" s="19"/>
      <c r="N22" s="208">
        <f t="shared" si="4"/>
        <v>20075000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5"/>
        <v>19527500</v>
      </c>
      <c r="F23" s="19"/>
      <c r="H23" s="19"/>
      <c r="N23" s="208">
        <f t="shared" si="4"/>
        <v>19527500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5"/>
        <v>9307500</v>
      </c>
      <c r="F24" s="19"/>
      <c r="H24" s="19"/>
      <c r="N24" s="208">
        <f t="shared" si="4"/>
        <v>9307500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5"/>
        <v>9490000</v>
      </c>
      <c r="F25" s="19"/>
      <c r="H25" s="19"/>
      <c r="N25" s="208">
        <f t="shared" si="4"/>
        <v>9490000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5"/>
        <v>18797500</v>
      </c>
      <c r="F26" s="19"/>
      <c r="H26" s="19"/>
      <c r="N26" s="208">
        <f t="shared" si="4"/>
        <v>18797500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5"/>
        <v>18651500.000000004</v>
      </c>
      <c r="F27" s="19"/>
      <c r="H27" s="19"/>
      <c r="N27" s="208">
        <f t="shared" si="4"/>
        <v>18651500.000000004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5"/>
        <v>16790000</v>
      </c>
      <c r="F28" s="19"/>
      <c r="H28" s="28"/>
      <c r="N28" s="208">
        <f t="shared" si="4"/>
        <v>16790000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5"/>
        <v>16425000</v>
      </c>
      <c r="F29" s="19"/>
      <c r="H29" s="28"/>
      <c r="N29" s="208">
        <f t="shared" si="4"/>
        <v>16425000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5"/>
        <v>15330000.000000002</v>
      </c>
      <c r="F30" s="19"/>
      <c r="G30" s="19"/>
      <c r="H30" s="19"/>
      <c r="N30" s="208">
        <f t="shared" si="4"/>
        <v>15330000.000000002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5"/>
        <v>14417500</v>
      </c>
      <c r="F31" s="19"/>
      <c r="G31" s="19"/>
      <c r="H31" s="19"/>
      <c r="N31" s="208">
        <f t="shared" si="4"/>
        <v>14417500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5"/>
        <v>14417500</v>
      </c>
      <c r="N32" s="208">
        <f t="shared" si="4"/>
        <v>14417500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5"/>
        <v>14162000</v>
      </c>
      <c r="N33" s="208">
        <f t="shared" si="4"/>
        <v>14162000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5"/>
        <v>13870000</v>
      </c>
      <c r="N34" s="208">
        <f t="shared" si="4"/>
        <v>13870000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5"/>
        <v>13870000</v>
      </c>
      <c r="N35" s="208">
        <f t="shared" si="4"/>
        <v>13870000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5"/>
        <v>12264000.000000002</v>
      </c>
      <c r="N36" s="208">
        <f t="shared" si="4"/>
        <v>12264000.000000002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5"/>
        <v>12154500.000000002</v>
      </c>
      <c r="N37" s="208">
        <f t="shared" si="4"/>
        <v>12154500.000000002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5"/>
        <v>11534000.000000002</v>
      </c>
      <c r="N38" s="208">
        <f t="shared" si="4"/>
        <v>11534000.000000002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5"/>
        <v>11169000.000000002</v>
      </c>
      <c r="N39" s="208">
        <f t="shared" si="4"/>
        <v>11169000.000000002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5"/>
        <v>8395000</v>
      </c>
      <c r="N40" s="208">
        <f t="shared" si="4"/>
        <v>8395000</v>
      </c>
    </row>
    <row r="41" spans="1:14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f>SUM(E14,E18,E21,E22,E23,E26,SUM(E27:E40))</f>
        <v>366642500</v>
      </c>
      <c r="F41" s="179"/>
      <c r="N41" s="209">
        <f>SUM(N14,N18,N21,N22,N23,N26,SUM(N27:N40))</f>
        <v>366642500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1193600</v>
      </c>
      <c r="F43" s="62"/>
    </row>
    <row r="44" spans="1:14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2006400</v>
      </c>
    </row>
    <row r="45" spans="1:14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3200000</v>
      </c>
    </row>
    <row r="46" spans="1:14" ht="18" customHeight="1" x14ac:dyDescent="0.25">
      <c r="A46" s="48"/>
      <c r="B46" s="48"/>
      <c r="C46" s="48"/>
      <c r="D46" s="21"/>
      <c r="E46" s="49"/>
    </row>
    <row r="47" spans="1:14" ht="18" customHeight="1" x14ac:dyDescent="0.25">
      <c r="A47" s="48"/>
      <c r="B47" s="48"/>
      <c r="C47" s="51" t="s">
        <v>108</v>
      </c>
      <c r="D47" s="52"/>
      <c r="E47" s="100">
        <f>E41+E45</f>
        <v>369842500</v>
      </c>
    </row>
    <row r="48" spans="1:14" x14ac:dyDescent="0.25">
      <c r="A48" s="31"/>
      <c r="B48" s="31"/>
      <c r="C48" s="31"/>
    </row>
    <row r="49" spans="1:5" x14ac:dyDescent="0.25">
      <c r="A49" s="31"/>
      <c r="B49" s="31"/>
      <c r="C49" s="31"/>
    </row>
    <row r="50" spans="1:5" ht="15.6" x14ac:dyDescent="0.25">
      <c r="A50" s="31"/>
      <c r="B50" s="1"/>
      <c r="E50" s="1"/>
    </row>
    <row r="51" spans="1:5" ht="26.25" customHeight="1" x14ac:dyDescent="0.25">
      <c r="A51" s="31"/>
      <c r="B51" s="1"/>
      <c r="E51" s="1"/>
    </row>
    <row r="52" spans="1:5" ht="15.6" x14ac:dyDescent="0.25">
      <c r="B52" s="2"/>
      <c r="E52" s="3"/>
    </row>
    <row r="53" spans="1:5" ht="15.6" x14ac:dyDescent="0.25">
      <c r="B53" s="1"/>
      <c r="E53" s="1"/>
    </row>
    <row r="54" spans="1:5" s="24" customFormat="1" ht="15.6" x14ac:dyDescent="0.25">
      <c r="B54" s="4"/>
      <c r="D54" s="32"/>
      <c r="E54" s="4"/>
    </row>
    <row r="55" spans="1:5" s="24" customFormat="1" ht="24" customHeight="1" x14ac:dyDescent="0.25">
      <c r="A55" s="18"/>
      <c r="B55" s="1"/>
      <c r="D55" s="32"/>
      <c r="E55" s="1"/>
    </row>
    <row r="56" spans="1:5" s="24" customFormat="1" x14ac:dyDescent="0.25">
      <c r="A56" s="18"/>
      <c r="B56" s="18"/>
      <c r="C56" s="18"/>
      <c r="D56" s="32"/>
    </row>
    <row r="58" spans="1:5" ht="11.25" customHeight="1" x14ac:dyDescent="0.25"/>
  </sheetData>
  <mergeCells count="3">
    <mergeCell ref="A5:E5"/>
    <mergeCell ref="B21:C21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M58"/>
  <sheetViews>
    <sheetView showGridLines="0" view="pageBreakPreview" zoomScaleNormal="100" zoomScaleSheetLayoutView="100" workbookViewId="0">
      <selection activeCell="E41" sqref="E41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33203125" style="17" customWidth="1"/>
    <col min="7" max="7" width="11.109375" style="17" bestFit="1" customWidth="1"/>
    <col min="8" max="8" width="2.88671875" style="17" customWidth="1"/>
    <col min="9" max="9" width="11.109375" style="17" bestFit="1" customWidth="1"/>
    <col min="10" max="10" width="13.6640625" style="17" customWidth="1"/>
    <col min="11" max="11" width="10.5546875" style="17" customWidth="1"/>
    <col min="12" max="12" width="7" style="17" customWidth="1"/>
    <col min="13" max="13" width="14.5546875" style="17" customWidth="1"/>
    <col min="14" max="16384" width="7" style="17"/>
  </cols>
  <sheetData>
    <row r="3" spans="1:13" ht="9.75" customHeight="1" x14ac:dyDescent="0.25">
      <c r="A3" s="15"/>
      <c r="B3" s="15"/>
      <c r="C3" s="15"/>
      <c r="D3" s="16"/>
      <c r="E3" s="15"/>
      <c r="F3" s="15"/>
    </row>
    <row r="4" spans="1:13" ht="12.75" customHeight="1" x14ac:dyDescent="0.25">
      <c r="A4" s="15"/>
      <c r="B4" s="15"/>
      <c r="C4" s="15"/>
      <c r="D4" s="16"/>
      <c r="E4" s="15"/>
      <c r="F4" s="15"/>
    </row>
    <row r="5" spans="1:13" ht="16.5" customHeight="1" x14ac:dyDescent="0.25">
      <c r="A5" s="402" t="s">
        <v>254</v>
      </c>
      <c r="B5" s="402"/>
      <c r="C5" s="402"/>
      <c r="D5" s="402"/>
      <c r="E5" s="402"/>
      <c r="F5" s="19"/>
    </row>
    <row r="6" spans="1:13" s="20" customFormat="1" ht="13.5" customHeight="1" x14ac:dyDescent="0.25">
      <c r="D6" s="21"/>
    </row>
    <row r="7" spans="1:13" s="3" customFormat="1" ht="24.9" customHeight="1" x14ac:dyDescent="0.3">
      <c r="A7" s="33" t="s">
        <v>76</v>
      </c>
      <c r="B7" s="110" t="s">
        <v>115</v>
      </c>
      <c r="C7" s="111"/>
      <c r="D7" s="34" t="s">
        <v>77</v>
      </c>
      <c r="E7" s="34" t="s">
        <v>78</v>
      </c>
      <c r="F7" s="22"/>
      <c r="K7" s="112"/>
      <c r="M7" s="23"/>
    </row>
    <row r="8" spans="1:13" s="2" customFormat="1" ht="18" customHeight="1" x14ac:dyDescent="0.25">
      <c r="A8" s="37"/>
      <c r="B8" s="101" t="s">
        <v>79</v>
      </c>
      <c r="C8" s="102"/>
      <c r="D8" s="181">
        <v>3.5670000000000002</v>
      </c>
      <c r="E8" s="39">
        <v>12662850</v>
      </c>
      <c r="F8" s="177"/>
      <c r="G8" s="177"/>
      <c r="I8" s="178"/>
      <c r="J8" s="180"/>
      <c r="K8" s="112"/>
    </row>
    <row r="9" spans="1:13" s="2" customFormat="1" ht="18" customHeight="1" x14ac:dyDescent="0.25">
      <c r="A9" s="37"/>
      <c r="B9" s="101" t="s">
        <v>80</v>
      </c>
      <c r="C9" s="102"/>
      <c r="D9" s="181">
        <v>1.39</v>
      </c>
      <c r="E9" s="39">
        <v>4934500</v>
      </c>
      <c r="F9" s="177"/>
      <c r="G9" s="177"/>
      <c r="I9" s="178"/>
      <c r="J9" s="180"/>
      <c r="K9" s="112"/>
    </row>
    <row r="10" spans="1:13" s="2" customFormat="1" ht="18" customHeight="1" x14ac:dyDescent="0.25">
      <c r="A10" s="37"/>
      <c r="B10" s="101" t="s">
        <v>81</v>
      </c>
      <c r="C10" s="102"/>
      <c r="D10" s="181">
        <v>2.9140000000000001</v>
      </c>
      <c r="E10" s="39">
        <v>10344700</v>
      </c>
      <c r="F10" s="177"/>
      <c r="G10" s="177"/>
      <c r="I10" s="178"/>
      <c r="J10" s="180"/>
      <c r="K10" s="112"/>
    </row>
    <row r="11" spans="1:13" s="2" customFormat="1" ht="18" customHeight="1" x14ac:dyDescent="0.25">
      <c r="A11" s="37"/>
      <c r="B11" s="101" t="s">
        <v>82</v>
      </c>
      <c r="C11" s="102"/>
      <c r="D11" s="181">
        <v>2.948</v>
      </c>
      <c r="E11" s="39">
        <v>10465400</v>
      </c>
      <c r="F11" s="177"/>
      <c r="G11" s="177"/>
      <c r="I11" s="178"/>
      <c r="J11" s="180"/>
      <c r="K11" s="112"/>
    </row>
    <row r="12" spans="1:13" s="2" customFormat="1" ht="18" customHeight="1" x14ac:dyDescent="0.25">
      <c r="A12" s="37"/>
      <c r="B12" s="101" t="s">
        <v>83</v>
      </c>
      <c r="C12" s="102"/>
      <c r="D12" s="181">
        <v>2.6880000000000002</v>
      </c>
      <c r="E12" s="39">
        <v>9542400</v>
      </c>
      <c r="F12" s="177"/>
      <c r="G12" s="177"/>
      <c r="I12" s="178"/>
      <c r="J12" s="180"/>
      <c r="K12" s="112"/>
    </row>
    <row r="13" spans="1:13" s="2" customFormat="1" ht="18" customHeight="1" x14ac:dyDescent="0.25">
      <c r="A13" s="37"/>
      <c r="B13" s="101" t="s">
        <v>84</v>
      </c>
      <c r="C13" s="102"/>
      <c r="D13" s="181">
        <v>1.9430000000000001</v>
      </c>
      <c r="E13" s="39">
        <v>6897650</v>
      </c>
      <c r="F13" s="177"/>
      <c r="G13" s="177"/>
      <c r="I13" s="178"/>
      <c r="J13" s="180"/>
      <c r="K13" s="112"/>
    </row>
    <row r="14" spans="1:13" s="3" customFormat="1" ht="18" customHeight="1" x14ac:dyDescent="0.25">
      <c r="A14" s="40">
        <v>1</v>
      </c>
      <c r="B14" s="108" t="s">
        <v>112</v>
      </c>
      <c r="C14" s="109"/>
      <c r="D14" s="41">
        <v>15.450000000000001</v>
      </c>
      <c r="E14" s="42">
        <v>54847500.000000007</v>
      </c>
      <c r="F14" s="177"/>
      <c r="G14" s="177"/>
      <c r="I14" s="178"/>
      <c r="J14" s="180"/>
      <c r="K14" s="112"/>
      <c r="M14" s="2"/>
    </row>
    <row r="15" spans="1:13" s="3" customFormat="1" ht="18" customHeight="1" x14ac:dyDescent="0.25">
      <c r="A15" s="37"/>
      <c r="B15" s="101" t="s">
        <v>85</v>
      </c>
      <c r="C15" s="102"/>
      <c r="D15" s="38">
        <v>2.9</v>
      </c>
      <c r="E15" s="43">
        <v>10295000</v>
      </c>
      <c r="F15" s="25"/>
      <c r="G15" s="26"/>
      <c r="I15" s="26"/>
      <c r="K15" s="107"/>
    </row>
    <row r="16" spans="1:13" s="3" customFormat="1" ht="18" customHeight="1" x14ac:dyDescent="0.25">
      <c r="A16" s="37"/>
      <c r="B16" s="101" t="s">
        <v>86</v>
      </c>
      <c r="C16" s="102"/>
      <c r="D16" s="38">
        <v>3.35</v>
      </c>
      <c r="E16" s="43">
        <v>11892500</v>
      </c>
      <c r="F16" s="25"/>
      <c r="G16" s="26"/>
      <c r="I16" s="26"/>
      <c r="K16" s="107"/>
    </row>
    <row r="17" spans="1:13" s="3" customFormat="1" ht="18" customHeight="1" x14ac:dyDescent="0.25">
      <c r="A17" s="37"/>
      <c r="B17" s="101" t="s">
        <v>87</v>
      </c>
      <c r="C17" s="102"/>
      <c r="D17" s="38">
        <v>2.9</v>
      </c>
      <c r="E17" s="43">
        <v>10295000</v>
      </c>
      <c r="F17" s="25"/>
      <c r="G17" s="26"/>
      <c r="I17" s="26"/>
      <c r="K17" s="107"/>
      <c r="M17" s="27"/>
    </row>
    <row r="18" spans="1:13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v>32482500</v>
      </c>
      <c r="F18" s="25"/>
      <c r="G18" s="19"/>
      <c r="I18" s="19"/>
      <c r="K18" s="19"/>
    </row>
    <row r="19" spans="1:13" s="3" customFormat="1" ht="18" customHeight="1" x14ac:dyDescent="0.25">
      <c r="A19" s="37"/>
      <c r="B19" s="101" t="s">
        <v>88</v>
      </c>
      <c r="C19" s="102"/>
      <c r="D19" s="38">
        <v>3.6</v>
      </c>
      <c r="E19" s="43">
        <v>12780000.000000002</v>
      </c>
      <c r="F19" s="25"/>
      <c r="G19" s="19"/>
      <c r="I19" s="19"/>
      <c r="K19" s="19"/>
    </row>
    <row r="20" spans="1:13" s="3" customFormat="1" ht="18" customHeight="1" x14ac:dyDescent="0.25">
      <c r="A20" s="37"/>
      <c r="B20" s="101" t="s">
        <v>89</v>
      </c>
      <c r="C20" s="102"/>
      <c r="D20" s="38">
        <v>3.25</v>
      </c>
      <c r="E20" s="43">
        <v>11537500</v>
      </c>
      <c r="F20" s="25"/>
      <c r="G20" s="19"/>
      <c r="I20" s="19"/>
      <c r="K20" s="19"/>
    </row>
    <row r="21" spans="1:13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v>24317499.999999996</v>
      </c>
      <c r="F21" s="25"/>
      <c r="G21" s="19"/>
      <c r="I21" s="19"/>
      <c r="K21" s="19"/>
    </row>
    <row r="22" spans="1:13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v>19525000</v>
      </c>
      <c r="F22" s="25"/>
      <c r="G22" s="19"/>
      <c r="I22" s="19"/>
      <c r="K22" s="19"/>
    </row>
    <row r="23" spans="1:13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v>18992500</v>
      </c>
      <c r="F23" s="25"/>
      <c r="G23" s="19"/>
      <c r="I23" s="19"/>
      <c r="K23" s="19"/>
    </row>
    <row r="24" spans="1:13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v>9052500</v>
      </c>
      <c r="F24" s="25"/>
      <c r="G24" s="19"/>
      <c r="I24" s="19"/>
      <c r="K24" s="19"/>
    </row>
    <row r="25" spans="1:13" s="3" customFormat="1" ht="18" customHeight="1" x14ac:dyDescent="0.25">
      <c r="A25" s="37"/>
      <c r="B25" s="101" t="s">
        <v>139</v>
      </c>
      <c r="C25" s="102"/>
      <c r="D25" s="38">
        <v>2.6</v>
      </c>
      <c r="E25" s="43">
        <v>9230000</v>
      </c>
      <c r="F25" s="25"/>
      <c r="G25" s="19"/>
      <c r="I25" s="19"/>
      <c r="K25" s="19"/>
    </row>
    <row r="26" spans="1:13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v>18282500</v>
      </c>
      <c r="F26" s="25"/>
      <c r="G26" s="19"/>
      <c r="I26" s="19"/>
      <c r="K26" s="19"/>
    </row>
    <row r="27" spans="1:13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v>18140500.000000004</v>
      </c>
      <c r="F27" s="25"/>
      <c r="G27" s="19"/>
      <c r="I27" s="19"/>
      <c r="K27" s="19"/>
    </row>
    <row r="28" spans="1:13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v>16330000</v>
      </c>
      <c r="F28" s="25"/>
      <c r="G28" s="19"/>
      <c r="I28" s="28"/>
      <c r="K28" s="28"/>
    </row>
    <row r="29" spans="1:13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v>15975000</v>
      </c>
      <c r="F29" s="25"/>
      <c r="G29" s="19"/>
      <c r="I29" s="28"/>
      <c r="K29" s="28"/>
    </row>
    <row r="30" spans="1:13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v>14910000</v>
      </c>
      <c r="F30" s="25"/>
      <c r="G30" s="19"/>
      <c r="H30" s="19"/>
      <c r="I30" s="19"/>
      <c r="K30" s="19"/>
    </row>
    <row r="31" spans="1:13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v>14022500</v>
      </c>
      <c r="F31" s="25"/>
      <c r="G31" s="19"/>
      <c r="H31" s="19"/>
      <c r="I31" s="19"/>
      <c r="K31" s="19"/>
    </row>
    <row r="32" spans="1:13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v>14022500</v>
      </c>
      <c r="F32" s="25"/>
    </row>
    <row r="33" spans="1:7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v>13774000</v>
      </c>
      <c r="F33" s="25"/>
    </row>
    <row r="34" spans="1:7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v>13490000</v>
      </c>
      <c r="F34" s="25"/>
    </row>
    <row r="35" spans="1:7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v>13490000</v>
      </c>
      <c r="F35" s="25"/>
    </row>
    <row r="36" spans="1:7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v>11928000.000000002</v>
      </c>
      <c r="F36" s="25"/>
    </row>
    <row r="37" spans="1:7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v>11821500.000000002</v>
      </c>
      <c r="F37" s="25"/>
    </row>
    <row r="38" spans="1:7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v>11218000.000000002</v>
      </c>
      <c r="F38" s="25"/>
    </row>
    <row r="39" spans="1:7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v>10863000.000000002</v>
      </c>
      <c r="F39" s="25"/>
    </row>
    <row r="40" spans="1:7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v>8165000</v>
      </c>
      <c r="F40" s="25"/>
    </row>
    <row r="41" spans="1:7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v>356597500</v>
      </c>
      <c r="F41" s="19"/>
      <c r="G41" s="179"/>
    </row>
    <row r="42" spans="1:7" ht="18" customHeight="1" x14ac:dyDescent="0.25">
      <c r="A42" s="48"/>
      <c r="B42" s="48"/>
      <c r="C42" s="48"/>
      <c r="D42" s="21"/>
      <c r="E42" s="49"/>
    </row>
    <row r="43" spans="1:7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1193600</v>
      </c>
      <c r="F43" s="19"/>
      <c r="G43" s="62"/>
    </row>
    <row r="44" spans="1:7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2006400</v>
      </c>
      <c r="F44" s="35"/>
    </row>
    <row r="45" spans="1:7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3200000</v>
      </c>
      <c r="F45" s="35"/>
    </row>
    <row r="46" spans="1:7" ht="18" customHeight="1" x14ac:dyDescent="0.25">
      <c r="A46" s="48"/>
      <c r="B46" s="48"/>
      <c r="C46" s="48"/>
      <c r="D46" s="21"/>
      <c r="E46" s="49"/>
    </row>
    <row r="47" spans="1:7" ht="18" customHeight="1" x14ac:dyDescent="0.25">
      <c r="A47" s="48"/>
      <c r="B47" s="48"/>
      <c r="C47" s="51" t="s">
        <v>108</v>
      </c>
      <c r="D47" s="52"/>
      <c r="E47" s="100">
        <f>E41+E45</f>
        <v>359797500</v>
      </c>
      <c r="F47" s="19"/>
    </row>
    <row r="48" spans="1:7" x14ac:dyDescent="0.25">
      <c r="A48" s="31"/>
      <c r="B48" s="31"/>
      <c r="C48" s="31"/>
    </row>
    <row r="49" spans="1:6" x14ac:dyDescent="0.25">
      <c r="A49" s="31"/>
      <c r="B49" s="31"/>
      <c r="C49" s="31"/>
    </row>
    <row r="50" spans="1:6" ht="15.6" x14ac:dyDescent="0.25">
      <c r="A50" s="31"/>
      <c r="B50" s="1"/>
      <c r="E50" s="1"/>
      <c r="F50" s="1"/>
    </row>
    <row r="51" spans="1:6" ht="26.25" customHeight="1" x14ac:dyDescent="0.25">
      <c r="A51" s="31"/>
      <c r="B51" s="1"/>
      <c r="E51" s="1"/>
      <c r="F51" s="1"/>
    </row>
    <row r="52" spans="1:6" ht="15.6" x14ac:dyDescent="0.25">
      <c r="B52" s="2"/>
      <c r="E52" s="3"/>
      <c r="F52" s="3"/>
    </row>
    <row r="53" spans="1:6" ht="15.6" x14ac:dyDescent="0.25">
      <c r="B53" s="1"/>
      <c r="E53" s="1"/>
      <c r="F53" s="1"/>
    </row>
    <row r="54" spans="1:6" s="24" customFormat="1" ht="15.6" x14ac:dyDescent="0.25">
      <c r="B54" s="4"/>
      <c r="D54" s="32"/>
      <c r="E54" s="4"/>
      <c r="F54" s="4"/>
    </row>
    <row r="55" spans="1:6" s="24" customFormat="1" ht="24" customHeight="1" x14ac:dyDescent="0.25">
      <c r="A55" s="18"/>
      <c r="B55" s="1"/>
      <c r="D55" s="32"/>
      <c r="E55" s="1"/>
      <c r="F55" s="1"/>
    </row>
    <row r="56" spans="1:6" s="24" customFormat="1" x14ac:dyDescent="0.25">
      <c r="A56" s="18"/>
      <c r="B56" s="18"/>
      <c r="C56" s="18"/>
      <c r="D56" s="32"/>
    </row>
    <row r="58" spans="1:6" ht="11.25" customHeight="1" x14ac:dyDescent="0.25"/>
  </sheetData>
  <sortState ref="B25:E40">
    <sortCondition descending="1" ref="D25:D40"/>
  </sortState>
  <mergeCells count="3">
    <mergeCell ref="B21:C21"/>
    <mergeCell ref="A5:E5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view="pageBreakPreview" zoomScale="115" zoomScaleNormal="100" zoomScaleSheetLayoutView="115" workbookViewId="0">
      <selection activeCell="D8" sqref="D8:D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33203125" style="17" customWidth="1"/>
    <col min="7" max="7" width="10.5546875" style="17" customWidth="1"/>
    <col min="8" max="8" width="2.88671875" style="17" customWidth="1"/>
    <col min="9" max="9" width="10.5546875" style="17" customWidth="1"/>
    <col min="10" max="10" width="2.88671875" style="17" customWidth="1"/>
    <col min="11" max="11" width="10.5546875" style="17" customWidth="1"/>
    <col min="12" max="12" width="7" style="17"/>
    <col min="13" max="13" width="14.5546875" style="17" customWidth="1"/>
    <col min="14" max="16384" width="7" style="17"/>
  </cols>
  <sheetData>
    <row r="3" spans="1:13" ht="9.75" customHeight="1" x14ac:dyDescent="0.25">
      <c r="A3" s="15"/>
      <c r="B3" s="15"/>
      <c r="C3" s="15"/>
      <c r="D3" s="16"/>
      <c r="E3" s="15"/>
      <c r="F3" s="15"/>
    </row>
    <row r="4" spans="1:13" ht="12.75" customHeight="1" x14ac:dyDescent="0.25">
      <c r="A4" s="15"/>
      <c r="B4" s="15"/>
      <c r="C4" s="15"/>
      <c r="D4" s="16"/>
      <c r="E4" s="15"/>
      <c r="F4" s="15"/>
    </row>
    <row r="5" spans="1:13" ht="16.5" customHeight="1" x14ac:dyDescent="0.25">
      <c r="A5" s="402" t="s">
        <v>257</v>
      </c>
      <c r="B5" s="402"/>
      <c r="C5" s="402"/>
      <c r="D5" s="402"/>
      <c r="E5" s="402"/>
      <c r="F5" s="19"/>
    </row>
    <row r="6" spans="1:13" s="20" customFormat="1" ht="13.5" customHeight="1" x14ac:dyDescent="0.25">
      <c r="D6" s="21"/>
    </row>
    <row r="7" spans="1:13" s="3" customFormat="1" ht="24.9" customHeight="1" x14ac:dyDescent="0.3">
      <c r="A7" s="33" t="s">
        <v>76</v>
      </c>
      <c r="B7" s="110" t="s">
        <v>115</v>
      </c>
      <c r="C7" s="111"/>
      <c r="D7" s="34" t="s">
        <v>77</v>
      </c>
      <c r="E7" s="34" t="s">
        <v>78</v>
      </c>
      <c r="F7" s="22"/>
      <c r="K7" s="112"/>
      <c r="M7" s="23"/>
    </row>
    <row r="8" spans="1:13" s="2" customFormat="1" ht="18" customHeight="1" x14ac:dyDescent="0.25">
      <c r="A8" s="37"/>
      <c r="B8" s="101" t="s">
        <v>79</v>
      </c>
      <c r="C8" s="102"/>
      <c r="D8" s="38">
        <v>3.49</v>
      </c>
      <c r="E8" s="182">
        <f>(D8/100)*$E$41</f>
        <v>12389500</v>
      </c>
      <c r="F8" s="25"/>
      <c r="K8" s="112"/>
    </row>
    <row r="9" spans="1:13" s="2" customFormat="1" ht="18" customHeight="1" x14ac:dyDescent="0.25">
      <c r="A9" s="37"/>
      <c r="B9" s="101" t="s">
        <v>80</v>
      </c>
      <c r="C9" s="102"/>
      <c r="D9" s="38">
        <v>1.39</v>
      </c>
      <c r="E9" s="182">
        <f t="shared" ref="E9:E39" si="0">(D9/100)*$E$41</f>
        <v>4934500</v>
      </c>
      <c r="F9" s="25"/>
      <c r="K9" s="112"/>
    </row>
    <row r="10" spans="1:13" s="2" customFormat="1" ht="18" customHeight="1" x14ac:dyDescent="0.25">
      <c r="A10" s="37"/>
      <c r="B10" s="101" t="s">
        <v>81</v>
      </c>
      <c r="C10" s="102"/>
      <c r="D10" s="38">
        <v>2.83</v>
      </c>
      <c r="E10" s="182">
        <f t="shared" si="0"/>
        <v>10046500</v>
      </c>
      <c r="F10" s="25"/>
      <c r="K10" s="112"/>
    </row>
    <row r="11" spans="1:13" s="2" customFormat="1" ht="18" customHeight="1" x14ac:dyDescent="0.25">
      <c r="A11" s="37"/>
      <c r="B11" s="101" t="s">
        <v>82</v>
      </c>
      <c r="C11" s="102"/>
      <c r="D11" s="38">
        <v>2.88</v>
      </c>
      <c r="E11" s="182">
        <f t="shared" si="0"/>
        <v>10224000</v>
      </c>
      <c r="F11" s="25"/>
      <c r="K11" s="112"/>
    </row>
    <row r="12" spans="1:13" s="2" customFormat="1" ht="18" customHeight="1" x14ac:dyDescent="0.25">
      <c r="A12" s="37"/>
      <c r="B12" s="101" t="s">
        <v>83</v>
      </c>
      <c r="C12" s="102"/>
      <c r="D12" s="38">
        <v>2.58</v>
      </c>
      <c r="E12" s="182">
        <f t="shared" si="0"/>
        <v>9159000</v>
      </c>
      <c r="F12" s="25"/>
      <c r="K12" s="112"/>
    </row>
    <row r="13" spans="1:13" s="2" customFormat="1" ht="18" customHeight="1" x14ac:dyDescent="0.25">
      <c r="A13" s="37"/>
      <c r="B13" s="101" t="s">
        <v>84</v>
      </c>
      <c r="C13" s="102"/>
      <c r="D13" s="38">
        <v>1.83</v>
      </c>
      <c r="E13" s="182">
        <f t="shared" si="0"/>
        <v>6496500</v>
      </c>
      <c r="F13" s="25"/>
      <c r="K13" s="112"/>
    </row>
    <row r="14" spans="1:13" s="3" customFormat="1" ht="18" customHeight="1" x14ac:dyDescent="0.25">
      <c r="A14" s="40">
        <v>1</v>
      </c>
      <c r="B14" s="108" t="s">
        <v>112</v>
      </c>
      <c r="C14" s="109"/>
      <c r="D14" s="41">
        <f>SUM(D8:D13)</f>
        <v>15</v>
      </c>
      <c r="E14" s="183">
        <f t="shared" si="0"/>
        <v>53250000</v>
      </c>
      <c r="F14" s="25"/>
      <c r="G14" s="26"/>
      <c r="I14" s="26"/>
      <c r="K14" s="112"/>
      <c r="M14" s="2"/>
    </row>
    <row r="15" spans="1:13" s="3" customFormat="1" ht="18" customHeight="1" x14ac:dyDescent="0.25">
      <c r="A15" s="37"/>
      <c r="B15" s="101" t="s">
        <v>85</v>
      </c>
      <c r="C15" s="102"/>
      <c r="D15" s="38">
        <v>2.9</v>
      </c>
      <c r="E15" s="184">
        <f t="shared" si="0"/>
        <v>10295000</v>
      </c>
      <c r="F15" s="25"/>
      <c r="G15" s="26"/>
      <c r="I15" s="26"/>
      <c r="K15" s="107"/>
    </row>
    <row r="16" spans="1:13" s="3" customFormat="1" ht="18" customHeight="1" x14ac:dyDescent="0.25">
      <c r="A16" s="37"/>
      <c r="B16" s="101" t="s">
        <v>86</v>
      </c>
      <c r="C16" s="102"/>
      <c r="D16" s="38">
        <v>3.35</v>
      </c>
      <c r="E16" s="184">
        <f t="shared" si="0"/>
        <v>11892500</v>
      </c>
      <c r="F16" s="25"/>
      <c r="G16" s="26"/>
      <c r="I16" s="26"/>
      <c r="K16" s="107"/>
    </row>
    <row r="17" spans="1:13" s="3" customFormat="1" ht="18" customHeight="1" x14ac:dyDescent="0.25">
      <c r="A17" s="37"/>
      <c r="B17" s="101" t="s">
        <v>87</v>
      </c>
      <c r="C17" s="102"/>
      <c r="D17" s="38">
        <v>2.9</v>
      </c>
      <c r="E17" s="184">
        <f t="shared" si="0"/>
        <v>10295000</v>
      </c>
      <c r="F17" s="25"/>
      <c r="G17" s="26"/>
      <c r="I17" s="26"/>
      <c r="K17" s="107"/>
      <c r="M17" s="27"/>
    </row>
    <row r="18" spans="1:13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185">
        <f t="shared" si="0"/>
        <v>32482500</v>
      </c>
      <c r="F18" s="25"/>
      <c r="G18" s="19"/>
      <c r="I18" s="19"/>
      <c r="K18" s="19"/>
    </row>
    <row r="19" spans="1:13" s="3" customFormat="1" ht="18" customHeight="1" x14ac:dyDescent="0.25">
      <c r="A19" s="37"/>
      <c r="B19" s="101" t="s">
        <v>88</v>
      </c>
      <c r="C19" s="102"/>
      <c r="D19" s="38">
        <v>3.6</v>
      </c>
      <c r="E19" s="184">
        <f t="shared" si="0"/>
        <v>12780000.000000002</v>
      </c>
      <c r="F19" s="25"/>
      <c r="G19" s="19"/>
      <c r="I19" s="19"/>
      <c r="K19" s="19"/>
    </row>
    <row r="20" spans="1:13" s="3" customFormat="1" ht="18" customHeight="1" x14ac:dyDescent="0.25">
      <c r="A20" s="37"/>
      <c r="B20" s="101" t="s">
        <v>89</v>
      </c>
      <c r="C20" s="102"/>
      <c r="D20" s="38">
        <v>3.25</v>
      </c>
      <c r="E20" s="184">
        <f t="shared" si="0"/>
        <v>11537500</v>
      </c>
      <c r="F20" s="25"/>
      <c r="G20" s="19"/>
      <c r="I20" s="19"/>
      <c r="K20" s="19"/>
    </row>
    <row r="21" spans="1:13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185">
        <f t="shared" si="0"/>
        <v>24317499.999999996</v>
      </c>
      <c r="F21" s="25"/>
      <c r="G21" s="19"/>
      <c r="I21" s="19"/>
      <c r="K21" s="19"/>
    </row>
    <row r="22" spans="1:13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184">
        <f t="shared" si="0"/>
        <v>19525000</v>
      </c>
      <c r="F22" s="25"/>
      <c r="G22" s="19"/>
      <c r="I22" s="19"/>
      <c r="K22" s="19"/>
    </row>
    <row r="23" spans="1:13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184">
        <f t="shared" si="0"/>
        <v>18992500</v>
      </c>
      <c r="F23" s="25"/>
      <c r="G23" s="19"/>
      <c r="I23" s="19"/>
      <c r="K23" s="19"/>
    </row>
    <row r="24" spans="1:13" s="3" customFormat="1" ht="18" customHeight="1" x14ac:dyDescent="0.25">
      <c r="A24" s="37"/>
      <c r="B24" s="101" t="s">
        <v>93</v>
      </c>
      <c r="C24" s="102"/>
      <c r="D24" s="38">
        <v>2.5499999999999998</v>
      </c>
      <c r="E24" s="184">
        <f t="shared" si="0"/>
        <v>9052500</v>
      </c>
      <c r="F24" s="25"/>
      <c r="G24" s="19"/>
      <c r="I24" s="19"/>
      <c r="K24" s="19"/>
    </row>
    <row r="25" spans="1:13" s="3" customFormat="1" ht="18" customHeight="1" x14ac:dyDescent="0.25">
      <c r="A25" s="37"/>
      <c r="B25" s="101" t="s">
        <v>139</v>
      </c>
      <c r="C25" s="102"/>
      <c r="D25" s="38">
        <v>2.6</v>
      </c>
      <c r="E25" s="184">
        <f t="shared" si="0"/>
        <v>9230000</v>
      </c>
      <c r="F25" s="25"/>
      <c r="G25" s="19"/>
      <c r="I25" s="19"/>
      <c r="K25" s="19"/>
    </row>
    <row r="26" spans="1:13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185">
        <f t="shared" si="0"/>
        <v>18282500</v>
      </c>
      <c r="F26" s="25"/>
      <c r="G26" s="19"/>
      <c r="I26" s="19"/>
      <c r="K26" s="19"/>
    </row>
    <row r="27" spans="1:13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184">
        <f t="shared" si="0"/>
        <v>18140500.000000004</v>
      </c>
      <c r="F27" s="25"/>
      <c r="G27" s="19"/>
      <c r="I27" s="19"/>
      <c r="K27" s="19"/>
    </row>
    <row r="28" spans="1:13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184">
        <f t="shared" si="0"/>
        <v>16330000</v>
      </c>
      <c r="F28" s="25"/>
      <c r="G28" s="19"/>
      <c r="I28" s="28"/>
      <c r="K28" s="28"/>
    </row>
    <row r="29" spans="1:13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184">
        <f t="shared" si="0"/>
        <v>15975000</v>
      </c>
      <c r="F29" s="25"/>
      <c r="G29" s="19"/>
      <c r="I29" s="28"/>
      <c r="K29" s="28"/>
    </row>
    <row r="30" spans="1:13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184">
        <f t="shared" si="0"/>
        <v>14910000</v>
      </c>
      <c r="F30" s="25"/>
      <c r="G30" s="19"/>
      <c r="H30" s="19"/>
      <c r="I30" s="19"/>
      <c r="K30" s="19"/>
    </row>
    <row r="31" spans="1:13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184">
        <f t="shared" si="0"/>
        <v>14022500</v>
      </c>
      <c r="F31" s="25"/>
      <c r="G31" s="19"/>
      <c r="H31" s="19"/>
      <c r="I31" s="19"/>
      <c r="K31" s="19"/>
    </row>
    <row r="32" spans="1:13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184">
        <f t="shared" si="0"/>
        <v>14022500</v>
      </c>
      <c r="F32" s="25"/>
    </row>
    <row r="33" spans="1:7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184">
        <f t="shared" si="0"/>
        <v>13774000</v>
      </c>
      <c r="F33" s="25"/>
    </row>
    <row r="34" spans="1:7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184">
        <f>(D34/100)*$E$41</f>
        <v>13490000</v>
      </c>
      <c r="F34" s="25"/>
    </row>
    <row r="35" spans="1:7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184">
        <f t="shared" si="0"/>
        <v>13490000</v>
      </c>
      <c r="F35" s="25"/>
    </row>
    <row r="36" spans="1:7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184">
        <f t="shared" si="0"/>
        <v>11928000.000000002</v>
      </c>
      <c r="F36" s="25"/>
    </row>
    <row r="37" spans="1:7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184">
        <f t="shared" si="0"/>
        <v>11821500.000000002</v>
      </c>
      <c r="F37" s="25"/>
    </row>
    <row r="38" spans="1:7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184">
        <f t="shared" si="0"/>
        <v>11218000.000000002</v>
      </c>
      <c r="F38" s="25"/>
    </row>
    <row r="39" spans="1:7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184">
        <f t="shared" si="0"/>
        <v>10863000.000000002</v>
      </c>
      <c r="F39" s="25"/>
    </row>
    <row r="40" spans="1:7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184">
        <f>(D40/100)*$E$41</f>
        <v>8165000</v>
      </c>
      <c r="F40" s="25"/>
    </row>
    <row r="41" spans="1:7" s="29" customFormat="1" ht="18" customHeight="1" x14ac:dyDescent="0.25">
      <c r="A41" s="101"/>
      <c r="B41" s="113" t="s">
        <v>105</v>
      </c>
      <c r="C41" s="114"/>
      <c r="D41" s="46">
        <f>SUM(D26:D40)+D14+D18+D21+D22+D23</f>
        <v>99.999999999999986</v>
      </c>
      <c r="E41" s="186">
        <v>355000000</v>
      </c>
      <c r="F41" s="19"/>
    </row>
    <row r="42" spans="1:7" ht="18" customHeight="1" x14ac:dyDescent="0.25">
      <c r="A42" s="48"/>
      <c r="B42" s="48"/>
      <c r="C42" s="48"/>
      <c r="D42" s="21"/>
      <c r="E42" s="187"/>
    </row>
    <row r="43" spans="1:7" ht="18" customHeight="1" x14ac:dyDescent="0.25">
      <c r="A43" s="48"/>
      <c r="B43" s="433" t="s">
        <v>94</v>
      </c>
      <c r="C43" s="50" t="s">
        <v>106</v>
      </c>
      <c r="D43" s="188">
        <v>37.299999999999997</v>
      </c>
      <c r="E43" s="184">
        <f>(D43/100)*$E$45</f>
        <v>1193600</v>
      </c>
      <c r="F43" s="19"/>
      <c r="G43" s="62"/>
    </row>
    <row r="44" spans="1:7" ht="18" customHeight="1" x14ac:dyDescent="0.25">
      <c r="A44" s="48"/>
      <c r="B44" s="433"/>
      <c r="C44" s="50" t="s">
        <v>107</v>
      </c>
      <c r="D44" s="188">
        <v>62.7</v>
      </c>
      <c r="E44" s="184">
        <f>(D44/100)*$E$45</f>
        <v>2006400</v>
      </c>
      <c r="F44" s="35"/>
    </row>
    <row r="45" spans="1:7" ht="18" customHeight="1" x14ac:dyDescent="0.25">
      <c r="A45" s="48"/>
      <c r="B45" s="433"/>
      <c r="C45" s="115" t="s">
        <v>153</v>
      </c>
      <c r="D45" s="189">
        <f>SUM(D43+D44)</f>
        <v>100</v>
      </c>
      <c r="E45" s="190">
        <v>3200000</v>
      </c>
      <c r="F45" s="35"/>
    </row>
    <row r="46" spans="1:7" ht="18" customHeight="1" x14ac:dyDescent="0.25">
      <c r="A46" s="48"/>
      <c r="B46" s="48"/>
      <c r="C46" s="48"/>
      <c r="D46" s="21"/>
      <c r="E46" s="187"/>
    </row>
    <row r="47" spans="1:7" ht="18" customHeight="1" x14ac:dyDescent="0.25">
      <c r="A47" s="48"/>
      <c r="B47" s="48"/>
      <c r="C47" s="51" t="s">
        <v>108</v>
      </c>
      <c r="D47" s="52"/>
      <c r="E47" s="190">
        <f>E41+E45</f>
        <v>358200000</v>
      </c>
      <c r="F47" s="19"/>
    </row>
    <row r="48" spans="1:7" x14ac:dyDescent="0.25">
      <c r="A48" s="31"/>
      <c r="B48" s="31"/>
      <c r="C48" s="31"/>
    </row>
    <row r="49" spans="1:6" x14ac:dyDescent="0.25">
      <c r="A49" s="31"/>
      <c r="B49" s="31"/>
      <c r="C49" s="31"/>
    </row>
    <row r="50" spans="1:6" ht="15.6" x14ac:dyDescent="0.25">
      <c r="A50" s="31"/>
      <c r="B50" s="1"/>
      <c r="E50" s="1"/>
      <c r="F50" s="1"/>
    </row>
    <row r="51" spans="1:6" ht="26.25" customHeight="1" x14ac:dyDescent="0.25">
      <c r="A51" s="31"/>
      <c r="B51" s="1"/>
      <c r="E51" s="1"/>
      <c r="F51" s="1"/>
    </row>
    <row r="52" spans="1:6" ht="15.6" x14ac:dyDescent="0.25">
      <c r="B52" s="2"/>
      <c r="E52" s="3"/>
      <c r="F52" s="3"/>
    </row>
    <row r="53" spans="1:6" ht="15.6" x14ac:dyDescent="0.25">
      <c r="B53" s="1"/>
      <c r="E53" s="1"/>
      <c r="F53" s="1"/>
    </row>
    <row r="54" spans="1:6" s="24" customFormat="1" ht="15.6" x14ac:dyDescent="0.25">
      <c r="B54" s="4"/>
      <c r="D54" s="32"/>
      <c r="E54" s="4"/>
      <c r="F54" s="4"/>
    </row>
    <row r="55" spans="1:6" s="24" customFormat="1" ht="24" customHeight="1" x14ac:dyDescent="0.25">
      <c r="A55" s="18"/>
      <c r="B55" s="1"/>
      <c r="D55" s="32"/>
      <c r="E55" s="1"/>
      <c r="F55" s="1"/>
    </row>
    <row r="56" spans="1:6" s="24" customFormat="1" x14ac:dyDescent="0.25">
      <c r="A56" s="18"/>
      <c r="B56" s="18"/>
      <c r="C56" s="18"/>
      <c r="D56" s="32"/>
    </row>
    <row r="58" spans="1:6" ht="11.25" customHeight="1" x14ac:dyDescent="0.25"/>
  </sheetData>
  <mergeCells count="3">
    <mergeCell ref="A5:E5"/>
    <mergeCell ref="B21:C21"/>
    <mergeCell ref="B43:B45"/>
  </mergeCells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I30"/>
  <sheetViews>
    <sheetView showGridLines="0" view="pageBreakPreview" topLeftCell="A7" zoomScale="130" zoomScaleNormal="100" zoomScaleSheetLayoutView="130" workbookViewId="0">
      <selection activeCell="H12" sqref="H12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384" width="7" style="17"/>
  </cols>
  <sheetData>
    <row r="3" spans="1:9" ht="9.75" customHeight="1" x14ac:dyDescent="0.25">
      <c r="A3" s="15"/>
      <c r="B3" s="15"/>
      <c r="C3" s="15"/>
      <c r="D3" s="16"/>
      <c r="E3" s="15"/>
    </row>
    <row r="4" spans="1:9" ht="9.75" customHeight="1" x14ac:dyDescent="0.25">
      <c r="A4" s="15"/>
      <c r="B4" s="15"/>
      <c r="C4" s="15"/>
      <c r="D4" s="16"/>
      <c r="E4" s="15"/>
    </row>
    <row r="5" spans="1:9" ht="9.75" customHeight="1" x14ac:dyDescent="0.25">
      <c r="A5" s="15"/>
      <c r="B5" s="15"/>
      <c r="C5" s="15"/>
      <c r="D5" s="16"/>
      <c r="E5" s="15"/>
    </row>
    <row r="6" spans="1:9" ht="16.5" customHeight="1" x14ac:dyDescent="0.25">
      <c r="A6" s="401" t="s">
        <v>278</v>
      </c>
      <c r="B6" s="402"/>
      <c r="C6" s="402"/>
      <c r="D6" s="402"/>
      <c r="E6" s="402"/>
      <c r="G6" s="17" t="s">
        <v>275</v>
      </c>
    </row>
    <row r="7" spans="1:9" s="20" customFormat="1" ht="13.5" customHeight="1" x14ac:dyDescent="0.25">
      <c r="D7" s="21"/>
      <c r="G7" s="272">
        <v>390000000</v>
      </c>
    </row>
    <row r="8" spans="1:9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9" s="2" customFormat="1" ht="18" customHeight="1" x14ac:dyDescent="0.25">
      <c r="A9" s="37"/>
      <c r="B9" s="101" t="s">
        <v>79</v>
      </c>
      <c r="C9" s="102"/>
      <c r="D9" s="275">
        <v>2.63</v>
      </c>
      <c r="E9" s="43">
        <v>10257000</v>
      </c>
      <c r="F9" s="177"/>
      <c r="G9" s="273"/>
      <c r="I9" s="208">
        <v>10257000</v>
      </c>
    </row>
    <row r="10" spans="1:9" s="2" customFormat="1" ht="18" customHeight="1" x14ac:dyDescent="0.25">
      <c r="A10" s="37"/>
      <c r="B10" s="101" t="s">
        <v>80</v>
      </c>
      <c r="C10" s="102"/>
      <c r="D10" s="275">
        <v>1.59</v>
      </c>
      <c r="E10" s="43">
        <v>6201000</v>
      </c>
      <c r="F10" s="177"/>
      <c r="G10" s="273"/>
      <c r="I10" s="208">
        <v>6201000</v>
      </c>
    </row>
    <row r="11" spans="1:9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v>9711000</v>
      </c>
      <c r="F11" s="177"/>
      <c r="G11" s="273"/>
      <c r="I11" s="208">
        <v>9711000</v>
      </c>
    </row>
    <row r="12" spans="1:9" s="2" customFormat="1" ht="18" customHeight="1" x14ac:dyDescent="0.25">
      <c r="A12" s="37"/>
      <c r="B12" s="101" t="s">
        <v>82</v>
      </c>
      <c r="C12" s="102"/>
      <c r="D12" s="275">
        <v>3.27</v>
      </c>
      <c r="E12" s="43">
        <v>12753000</v>
      </c>
      <c r="F12" s="177"/>
      <c r="G12" s="273"/>
      <c r="I12" s="208">
        <v>12753000</v>
      </c>
    </row>
    <row r="13" spans="1:9" s="2" customFormat="1" ht="18" customHeight="1" x14ac:dyDescent="0.25">
      <c r="A13" s="37"/>
      <c r="B13" s="101" t="s">
        <v>83</v>
      </c>
      <c r="C13" s="102"/>
      <c r="D13" s="275">
        <v>2.83</v>
      </c>
      <c r="E13" s="43">
        <v>11037000</v>
      </c>
      <c r="F13" s="177"/>
      <c r="G13" s="273"/>
      <c r="I13" s="208">
        <v>11037000</v>
      </c>
    </row>
    <row r="14" spans="1:9" s="2" customFormat="1" ht="18" customHeight="1" x14ac:dyDescent="0.25">
      <c r="A14" s="37"/>
      <c r="B14" s="101" t="s">
        <v>84</v>
      </c>
      <c r="C14" s="102"/>
      <c r="D14" s="275">
        <v>2.17</v>
      </c>
      <c r="E14" s="43">
        <v>8463000</v>
      </c>
      <c r="F14" s="177"/>
      <c r="G14" s="273"/>
      <c r="I14" s="208"/>
    </row>
    <row r="15" spans="1:9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v>8463000</v>
      </c>
      <c r="F15" s="177"/>
      <c r="G15" s="273"/>
      <c r="I15" s="208"/>
    </row>
    <row r="16" spans="1:9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v>2145000</v>
      </c>
      <c r="F16" s="177"/>
      <c r="G16" s="273"/>
      <c r="I16" s="208">
        <v>2145000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v>17.7</v>
      </c>
      <c r="E17" s="44">
        <v>69030000</v>
      </c>
      <c r="F17" s="177"/>
      <c r="G17" s="273"/>
      <c r="I17" s="208">
        <v>69030000</v>
      </c>
    </row>
    <row r="18" spans="1:9" ht="18" customHeight="1" x14ac:dyDescent="0.25">
      <c r="A18" s="48"/>
      <c r="B18" s="48"/>
      <c r="C18" s="48"/>
      <c r="D18" s="21"/>
      <c r="E18" s="49"/>
    </row>
    <row r="19" spans="1:9" ht="18" customHeight="1" x14ac:dyDescent="0.25">
      <c r="A19" s="48"/>
      <c r="B19" s="48"/>
      <c r="C19" s="48"/>
      <c r="D19" s="21"/>
      <c r="E19" s="49"/>
    </row>
    <row r="20" spans="1:9" x14ac:dyDescent="0.25">
      <c r="A20" s="31"/>
      <c r="B20" s="31"/>
      <c r="C20" s="31"/>
    </row>
    <row r="21" spans="1:9" x14ac:dyDescent="0.25">
      <c r="A21" s="31"/>
      <c r="B21" s="31"/>
      <c r="C21" s="31"/>
    </row>
    <row r="22" spans="1:9" ht="15.6" x14ac:dyDescent="0.25">
      <c r="A22" s="31"/>
      <c r="B22" s="1"/>
      <c r="E22" s="1"/>
    </row>
    <row r="23" spans="1:9" ht="26.25" customHeight="1" x14ac:dyDescent="0.25">
      <c r="A23" s="31"/>
      <c r="B23" s="1"/>
      <c r="E23" s="1"/>
    </row>
    <row r="24" spans="1:9" ht="15.6" x14ac:dyDescent="0.25">
      <c r="B24" s="2"/>
      <c r="E24" s="3"/>
    </row>
    <row r="25" spans="1:9" ht="15.6" x14ac:dyDescent="0.25">
      <c r="B25" s="1"/>
      <c r="E25" s="1"/>
    </row>
    <row r="26" spans="1:9" s="24" customFormat="1" ht="15.6" x14ac:dyDescent="0.25">
      <c r="B26" s="4"/>
      <c r="D26" s="32"/>
      <c r="E26" s="4"/>
    </row>
    <row r="27" spans="1:9" s="24" customFormat="1" ht="24" customHeight="1" x14ac:dyDescent="0.25">
      <c r="A27" s="18"/>
      <c r="B27" s="1"/>
      <c r="D27" s="32"/>
      <c r="E27" s="1"/>
    </row>
    <row r="28" spans="1:9" s="24" customFormat="1" x14ac:dyDescent="0.25">
      <c r="A28" s="18"/>
      <c r="B28" s="18"/>
      <c r="C28" s="18"/>
      <c r="D28" s="32"/>
    </row>
    <row r="30" spans="1:9" ht="11.25" customHeight="1" x14ac:dyDescent="0.25"/>
  </sheetData>
  <mergeCells count="2">
    <mergeCell ref="A6:E6"/>
    <mergeCell ref="B8:C8"/>
  </mergeCells>
  <printOptions horizontalCentered="1"/>
  <pageMargins left="0.5" right="0.7" top="0.37" bottom="0.32" header="0.3" footer="0.3"/>
  <pageSetup paperSize="9" orientation="portrait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G11" sqref="G11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75">
        <v>2.54</v>
      </c>
      <c r="E9" s="43">
        <f>(D9/100)*$G$7</f>
        <v>10922000</v>
      </c>
      <c r="F9" s="177">
        <v>2.54</v>
      </c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1.53</v>
      </c>
      <c r="E10" s="43">
        <f t="shared" ref="E10:E16" si="0">(D10/100)*$G$7</f>
        <v>6579000.0000000009</v>
      </c>
      <c r="F10" s="177">
        <v>1.53</v>
      </c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2.41</v>
      </c>
      <c r="E11" s="43">
        <f t="shared" si="0"/>
        <v>10363000</v>
      </c>
      <c r="F11" s="177">
        <v>2.41</v>
      </c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3.06</v>
      </c>
      <c r="E12" s="43">
        <f t="shared" si="0"/>
        <v>13158000.000000002</v>
      </c>
      <c r="F12" s="177">
        <v>3.06</v>
      </c>
      <c r="G12" s="273"/>
      <c r="I12" s="2" t="s">
        <v>280</v>
      </c>
      <c r="J12" s="2">
        <f>E17*57%</f>
        <v>40931700.000000007</v>
      </c>
      <c r="K12" s="282">
        <f>J12/10000000</f>
        <v>4.0931700000000006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2.67</v>
      </c>
      <c r="E13" s="43">
        <f t="shared" si="0"/>
        <v>11481000</v>
      </c>
      <c r="F13" s="177">
        <v>2.67</v>
      </c>
      <c r="G13" s="273"/>
      <c r="I13" s="2" t="s">
        <v>281</v>
      </c>
      <c r="J13" s="2">
        <f>E17*43%</f>
        <v>30878300.000000007</v>
      </c>
      <c r="K13" s="282">
        <f>J13/10000000</f>
        <v>3.0878300000000007</v>
      </c>
    </row>
    <row r="14" spans="1:11" s="2" customFormat="1" ht="18" customHeight="1" x14ac:dyDescent="0.25">
      <c r="A14" s="37"/>
      <c r="B14" s="101" t="s">
        <v>84</v>
      </c>
      <c r="C14" s="102"/>
      <c r="D14" s="275">
        <v>1.96</v>
      </c>
      <c r="E14" s="43">
        <f t="shared" si="0"/>
        <v>8428000</v>
      </c>
      <c r="F14" s="177">
        <v>1.96</v>
      </c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2.02</v>
      </c>
      <c r="E15" s="43">
        <f t="shared" si="0"/>
        <v>8686000</v>
      </c>
      <c r="F15" s="177">
        <v>2.02</v>
      </c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0.51</v>
      </c>
      <c r="E16" s="43">
        <f t="shared" si="0"/>
        <v>2193000</v>
      </c>
      <c r="F16" s="177">
        <v>0.51</v>
      </c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16.700000000000003</v>
      </c>
      <c r="E17" s="44">
        <f>(D17/100)*$G$7</f>
        <v>71810000.000000015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" zoomScaleNormal="100" zoomScaleSheetLayoutView="100" workbookViewId="0">
      <selection activeCell="F20" sqref="F20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20" style="17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2.536</v>
      </c>
      <c r="E9" s="43">
        <f>(D9/100)*$G$7</f>
        <v>10904800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1.5329999999999999</v>
      </c>
      <c r="E10" s="43">
        <f t="shared" ref="E10:E16" si="0">(D10/100)*$G$7</f>
        <v>6591900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10358699.999999998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3.01</v>
      </c>
      <c r="E12" s="43">
        <f t="shared" si="0"/>
        <v>12943000</v>
      </c>
      <c r="F12" s="288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2.7</v>
      </c>
      <c r="E13" s="43">
        <f>(D13/100)*$G$7</f>
        <v>11610000.000000002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8406500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8694600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0.53500000000000003</v>
      </c>
      <c r="E16" s="43">
        <f t="shared" si="0"/>
        <v>2300500.0000000005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89">
        <f>SUM(D9:D16)</f>
        <v>16.7</v>
      </c>
      <c r="E17" s="44">
        <f>(D17/100)*$G$7</f>
        <v>71809999.999999985</v>
      </c>
      <c r="F17" s="177">
        <f>E12+E13+E16</f>
        <v>26853500</v>
      </c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11" zoomScale="85" zoomScaleNormal="85" zoomScaleSheetLayoutView="85" workbookViewId="0">
      <selection activeCell="W53" sqref="W5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hidden="1" customWidth="1"/>
    <col min="10" max="11" width="18.5546875" style="17" hidden="1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289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1647248.4418604651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430000000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23.985952589991218</v>
      </c>
      <c r="D12" s="236">
        <v>5873800</v>
      </c>
      <c r="E12" s="261">
        <f>F12/$F$20*100</f>
        <v>24.579831932773107</v>
      </c>
      <c r="F12" s="237">
        <v>5031000</v>
      </c>
      <c r="G12" s="259">
        <f>H12/$U$9*100</f>
        <v>2.536</v>
      </c>
      <c r="H12" s="257">
        <v>10904800</v>
      </c>
      <c r="I12" s="266"/>
      <c r="J12" s="257">
        <f>I12/100*$U$9</f>
        <v>0</v>
      </c>
      <c r="K12" s="270">
        <f>J12-H12</f>
        <v>-10904800</v>
      </c>
      <c r="L12" s="238">
        <f t="shared" ref="L12:L19" si="0">F12/$F$20</f>
        <v>0.24579831932773108</v>
      </c>
      <c r="M12" s="238">
        <f>L12*100</f>
        <v>24.579831932773107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15007000</v>
      </c>
      <c r="S12" s="192">
        <f t="shared" ref="S12:S17" si="1">E12-Q12</f>
        <v>21.089831932773109</v>
      </c>
      <c r="T12" s="206">
        <f>(S12/100)*$U$9</f>
        <v>90686277.310924366</v>
      </c>
      <c r="U12" s="196">
        <f>R12+T12</f>
        <v>105693277.31092437</v>
      </c>
      <c r="V12" s="2">
        <f>K12/2</f>
        <v>-5452400</v>
      </c>
      <c r="W12" s="208">
        <f t="shared" ref="W12:W32" si="2">(E12/100)*$U$9</f>
        <v>105693277.31092437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18.1387181738367</v>
      </c>
      <c r="D13" s="236">
        <v>4441900</v>
      </c>
      <c r="E13" s="261">
        <f t="shared" ref="E13:E19" si="4">F13/$F$20*100</f>
        <v>10.504201680672269</v>
      </c>
      <c r="F13" s="237">
        <v>2150000</v>
      </c>
      <c r="G13" s="259">
        <f t="shared" ref="G13:G18" si="5">H13/$U$9*100</f>
        <v>1.5329999999999999</v>
      </c>
      <c r="H13" s="257">
        <v>6591900</v>
      </c>
      <c r="I13" s="266"/>
      <c r="J13" s="257">
        <f>I13/100*$U$9</f>
        <v>0</v>
      </c>
      <c r="K13" s="270">
        <f t="shared" ref="K13:K19" si="6">J13-H13</f>
        <v>-6591900</v>
      </c>
      <c r="L13" s="238">
        <f t="shared" si="0"/>
        <v>0.10504201680672269</v>
      </c>
      <c r="M13" s="238">
        <f>L13*100</f>
        <v>10.504201680672269</v>
      </c>
      <c r="N13" s="239">
        <v>4030000</v>
      </c>
      <c r="O13" s="239">
        <v>2156000</v>
      </c>
      <c r="P13" s="239">
        <f t="shared" ref="P13:P18" si="7">N13+O13</f>
        <v>6186000</v>
      </c>
      <c r="Q13" s="195">
        <v>1.39</v>
      </c>
      <c r="R13" s="191">
        <f t="shared" ref="R13:R20" si="8">(Q13/100)*$U$9</f>
        <v>5977000</v>
      </c>
      <c r="S13" s="192">
        <f t="shared" si="1"/>
        <v>9.1142016806722683</v>
      </c>
      <c r="T13" s="206">
        <f t="shared" ref="T13:T17" si="9">(S13/100)*$U$9</f>
        <v>39191067.22689075</v>
      </c>
      <c r="U13" s="196">
        <f t="shared" ref="U13:U17" si="10">R13+T13</f>
        <v>45168067.22689075</v>
      </c>
      <c r="V13" s="2">
        <f t="shared" ref="V13:V19" si="11">K13/2</f>
        <v>-3295950</v>
      </c>
      <c r="W13" s="208">
        <f t="shared" si="2"/>
        <v>45168067.226890758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24.038630377524147</v>
      </c>
      <c r="D14" s="236">
        <v>5886700</v>
      </c>
      <c r="E14" s="261">
        <f t="shared" si="4"/>
        <v>21.84873949579832</v>
      </c>
      <c r="F14" s="237">
        <v>4472000</v>
      </c>
      <c r="G14" s="259">
        <f t="shared" si="5"/>
        <v>2.4089999999999998</v>
      </c>
      <c r="H14" s="257">
        <v>10358699.999999998</v>
      </c>
      <c r="I14" s="266"/>
      <c r="J14" s="257">
        <f t="shared" ref="J14:J19" si="12">I14/100*$U$9</f>
        <v>0</v>
      </c>
      <c r="K14" s="270">
        <f t="shared" si="6"/>
        <v>-10358699.999999998</v>
      </c>
      <c r="L14" s="238">
        <f t="shared" si="0"/>
        <v>0.21848739495798319</v>
      </c>
      <c r="M14" s="238">
        <f t="shared" ref="M14:M19" si="13">L14*100</f>
        <v>21.84873949579832</v>
      </c>
      <c r="N14" s="239">
        <v>6218000</v>
      </c>
      <c r="O14" s="239">
        <v>3480000</v>
      </c>
      <c r="P14" s="239">
        <f t="shared" si="7"/>
        <v>9698000</v>
      </c>
      <c r="Q14" s="195">
        <v>2.83</v>
      </c>
      <c r="R14" s="191">
        <f t="shared" si="8"/>
        <v>12169000.000000002</v>
      </c>
      <c r="S14" s="192">
        <f t="shared" si="1"/>
        <v>19.018739495798322</v>
      </c>
      <c r="T14" s="206">
        <f t="shared" si="9"/>
        <v>81780579.831932783</v>
      </c>
      <c r="U14" s="196">
        <f t="shared" si="10"/>
        <v>93949579.831932783</v>
      </c>
      <c r="V14" s="2">
        <f t="shared" si="11"/>
        <v>-5179349.9999999991</v>
      </c>
      <c r="W14" s="208">
        <f t="shared" si="2"/>
        <v>93949579.831932768</v>
      </c>
    </row>
    <row r="15" spans="1:23" s="2" customFormat="1" ht="30" customHeight="1" x14ac:dyDescent="0.25">
      <c r="A15" s="234">
        <v>4</v>
      </c>
      <c r="B15" s="235" t="s">
        <v>82</v>
      </c>
      <c r="C15" s="268">
        <f>D15/$D$20*100</f>
        <v>0</v>
      </c>
      <c r="D15" s="236"/>
      <c r="E15" s="261">
        <f t="shared" si="4"/>
        <v>0</v>
      </c>
      <c r="F15" s="237"/>
      <c r="G15" s="259">
        <f t="shared" si="5"/>
        <v>3.01</v>
      </c>
      <c r="H15" s="257">
        <v>12943000</v>
      </c>
      <c r="I15" s="286">
        <v>3.01</v>
      </c>
      <c r="J15" s="257">
        <f t="shared" si="12"/>
        <v>12943000</v>
      </c>
      <c r="K15" s="270">
        <f t="shared" si="6"/>
        <v>0</v>
      </c>
      <c r="L15" s="238">
        <f t="shared" si="0"/>
        <v>0</v>
      </c>
      <c r="M15" s="238">
        <f t="shared" si="13"/>
        <v>0</v>
      </c>
      <c r="N15" s="239">
        <v>8058000</v>
      </c>
      <c r="O15" s="239">
        <v>4708000</v>
      </c>
      <c r="P15" s="239">
        <f t="shared" si="7"/>
        <v>12766000</v>
      </c>
      <c r="Q15" s="195">
        <v>2.88</v>
      </c>
      <c r="R15" s="191">
        <f t="shared" si="8"/>
        <v>12384000</v>
      </c>
      <c r="S15" s="192">
        <f t="shared" si="1"/>
        <v>-2.88</v>
      </c>
      <c r="T15" s="206">
        <f>(S15/100)*$U$9</f>
        <v>-12384000</v>
      </c>
      <c r="U15" s="196">
        <f>R15+T15</f>
        <v>0</v>
      </c>
      <c r="V15" s="2">
        <f t="shared" si="11"/>
        <v>0</v>
      </c>
      <c r="W15" s="208">
        <f t="shared" si="2"/>
        <v>0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0</v>
      </c>
      <c r="D16" s="236"/>
      <c r="E16" s="261">
        <f t="shared" si="4"/>
        <v>0</v>
      </c>
      <c r="F16" s="237"/>
      <c r="G16" s="259">
        <v>2.7</v>
      </c>
      <c r="H16" s="257">
        <v>11610000.000000002</v>
      </c>
      <c r="I16" s="286">
        <v>2.6970000000000001</v>
      </c>
      <c r="J16" s="257">
        <f>I16/100*$U$9</f>
        <v>11597100</v>
      </c>
      <c r="K16" s="270">
        <f t="shared" si="6"/>
        <v>-12900.000000001863</v>
      </c>
      <c r="L16" s="238">
        <f t="shared" si="0"/>
        <v>0</v>
      </c>
      <c r="M16" s="238">
        <f t="shared" si="13"/>
        <v>0</v>
      </c>
      <c r="N16" s="239">
        <v>8472000</v>
      </c>
      <c r="O16" s="239">
        <v>4742000</v>
      </c>
      <c r="P16" s="239">
        <f t="shared" si="7"/>
        <v>13214000</v>
      </c>
      <c r="Q16" s="195">
        <v>2.58</v>
      </c>
      <c r="R16" s="191">
        <f t="shared" si="8"/>
        <v>11094000</v>
      </c>
      <c r="S16" s="192">
        <f t="shared" si="1"/>
        <v>-2.58</v>
      </c>
      <c r="T16" s="206">
        <f t="shared" si="9"/>
        <v>-11094000</v>
      </c>
      <c r="U16" s="196">
        <f t="shared" si="10"/>
        <v>0</v>
      </c>
      <c r="V16" s="2">
        <f t="shared" si="11"/>
        <v>-6450.0000000009313</v>
      </c>
      <c r="W16" s="208">
        <f t="shared" si="2"/>
        <v>0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18.525021949078138</v>
      </c>
      <c r="D17" s="236">
        <v>4536500</v>
      </c>
      <c r="E17" s="261">
        <f t="shared" si="4"/>
        <v>18.907563025210084</v>
      </c>
      <c r="F17" s="237">
        <v>3870000</v>
      </c>
      <c r="G17" s="259">
        <f t="shared" si="5"/>
        <v>1.9550000000000001</v>
      </c>
      <c r="H17" s="257">
        <v>8406500</v>
      </c>
      <c r="I17" s="266"/>
      <c r="J17" s="257">
        <f t="shared" si="12"/>
        <v>0</v>
      </c>
      <c r="K17" s="270">
        <f t="shared" si="6"/>
        <v>-8406500</v>
      </c>
      <c r="L17" s="238">
        <f t="shared" si="0"/>
        <v>0.18907563025210083</v>
      </c>
      <c r="M17" s="238">
        <f t="shared" si="13"/>
        <v>18.907563025210084</v>
      </c>
      <c r="N17" s="239">
        <v>4585000</v>
      </c>
      <c r="O17" s="239">
        <v>3860000</v>
      </c>
      <c r="P17" s="239">
        <f t="shared" si="7"/>
        <v>8445000</v>
      </c>
      <c r="Q17" s="195">
        <v>1.83</v>
      </c>
      <c r="R17" s="191">
        <f t="shared" si="8"/>
        <v>7869000</v>
      </c>
      <c r="S17" s="192">
        <f t="shared" si="1"/>
        <v>17.077563025210083</v>
      </c>
      <c r="T17" s="206">
        <f t="shared" si="9"/>
        <v>73433521.008403361</v>
      </c>
      <c r="U17" s="196">
        <f t="shared" si="10"/>
        <v>81302521.008403361</v>
      </c>
      <c r="V17" s="2">
        <f t="shared" si="11"/>
        <v>-4203250</v>
      </c>
      <c r="W17" s="208">
        <f t="shared" si="2"/>
        <v>81302521.008403361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15.311676909569799</v>
      </c>
      <c r="D18" s="236">
        <v>3749600</v>
      </c>
      <c r="E18" s="261">
        <f t="shared" si="4"/>
        <v>24.159663865546218</v>
      </c>
      <c r="F18" s="237">
        <v>4945000</v>
      </c>
      <c r="G18" s="259">
        <f t="shared" si="5"/>
        <v>2.0219999999999998</v>
      </c>
      <c r="H18" s="257">
        <v>8694600</v>
      </c>
      <c r="I18" s="266"/>
      <c r="J18" s="257">
        <f t="shared" si="12"/>
        <v>0</v>
      </c>
      <c r="K18" s="270">
        <f t="shared" si="6"/>
        <v>-8694600</v>
      </c>
      <c r="L18" s="238">
        <f t="shared" si="0"/>
        <v>0.24159663865546219</v>
      </c>
      <c r="M18" s="238">
        <f t="shared" si="13"/>
        <v>24.159663865546218</v>
      </c>
      <c r="N18" s="239">
        <v>4060000</v>
      </c>
      <c r="O18" s="239">
        <v>4400000</v>
      </c>
      <c r="P18" s="239">
        <f t="shared" si="7"/>
        <v>8460000</v>
      </c>
      <c r="Q18" s="240"/>
      <c r="R18" s="241"/>
      <c r="S18" s="242"/>
      <c r="T18" s="243"/>
      <c r="U18" s="244"/>
      <c r="V18" s="2">
        <f t="shared" si="11"/>
        <v>-4347300</v>
      </c>
      <c r="W18" s="208">
        <f t="shared" si="2"/>
        <v>103886554.62184875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0</v>
      </c>
      <c r="D19" s="236"/>
      <c r="E19" s="261">
        <f t="shared" si="4"/>
        <v>0</v>
      </c>
      <c r="F19" s="237">
        <f t="shared" ref="F19" si="14">O19</f>
        <v>0</v>
      </c>
      <c r="G19" s="259">
        <f>H19/$U$9*100</f>
        <v>0.53500000000000014</v>
      </c>
      <c r="H19" s="257">
        <v>2300500.0000000005</v>
      </c>
      <c r="I19" s="286">
        <v>0.53700000000000003</v>
      </c>
      <c r="J19" s="257">
        <f t="shared" si="12"/>
        <v>2309100.0000000005</v>
      </c>
      <c r="K19" s="270">
        <f t="shared" si="6"/>
        <v>8600</v>
      </c>
      <c r="L19" s="238">
        <f t="shared" si="0"/>
        <v>0</v>
      </c>
      <c r="M19" s="238">
        <f t="shared" si="13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1"/>
        <v>4300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30">
        <f>SUM(C12:C19)</f>
        <v>100</v>
      </c>
      <c r="D20" s="230">
        <f t="shared" ref="D20:F20" si="15">SUM(D12:D19)</f>
        <v>24488500</v>
      </c>
      <c r="E20" s="230">
        <f t="shared" si="15"/>
        <v>100</v>
      </c>
      <c r="F20" s="230">
        <f t="shared" si="15"/>
        <v>20468000</v>
      </c>
      <c r="G20" s="230">
        <f>SUM(G12:G19)</f>
        <v>16.7</v>
      </c>
      <c r="H20" s="290">
        <f>SUM(H12:H19)</f>
        <v>71810000</v>
      </c>
      <c r="I20" s="267">
        <f>SUM(I12:I19)</f>
        <v>6.2439999999999998</v>
      </c>
      <c r="J20" s="247">
        <f>SUM(J12:J19)</f>
        <v>26849200</v>
      </c>
      <c r="K20" s="271"/>
      <c r="L20" s="248">
        <f>O20/$U$9</f>
        <v>6.4199999999999993E-2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8"/>
        <v>64500000</v>
      </c>
      <c r="S20" s="199">
        <f>E20-Q20</f>
        <v>85</v>
      </c>
      <c r="T20" s="207">
        <f>(S20/100)*$U$9</f>
        <v>365500000</v>
      </c>
      <c r="U20" s="200">
        <f>R20+T20</f>
        <v>430000000</v>
      </c>
      <c r="W20" s="208">
        <f t="shared" si="2"/>
        <v>430000000</v>
      </c>
      <c r="X20" s="276"/>
      <c r="Z20" s="3">
        <v>77880000</v>
      </c>
      <c r="AA20" s="277">
        <f>Z20-H20</f>
        <v>6070000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12470000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4300</v>
      </c>
      <c r="W22" s="208">
        <f t="shared" si="2"/>
        <v>14405000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12470000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39345000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15480000.000000002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13975000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29454999.999999996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23650000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23005000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22360000.000000004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11825000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12470000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19780000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19350000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18060000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16985000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16985000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16684000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16125000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14017999.999999998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14448000.000000002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14319000.000000002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13588000.000000002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13158000.000000002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9890000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351968000</v>
      </c>
      <c r="G47" s="252">
        <f>SUM(G20,G24,G27,G28,G29,G30,SUM(G33:G46))</f>
        <v>101.69999999999999</v>
      </c>
      <c r="H47" s="186">
        <f>SUM(H20,H24,H27,H28,H29,H30,SUM(H33:H46))</f>
        <v>403310000</v>
      </c>
      <c r="I47" s="253"/>
      <c r="J47" s="253"/>
      <c r="K47" s="253"/>
      <c r="L47" s="253"/>
      <c r="M47" s="253"/>
      <c r="N47" s="179"/>
      <c r="W47" s="254">
        <f>SUM(W20,W24,W27,W28,W29,W30,SUM(W31:W46))</f>
        <v>795500000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 t="s">
        <v>270</v>
      </c>
      <c r="J51" s="279">
        <f>D20/H20</f>
        <v>0.34101796407185631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0.28502994011976046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O60"/>
  <sheetViews>
    <sheetView showGridLines="0" tabSelected="1" view="pageBreakPreview" zoomScaleNormal="100" zoomScaleSheetLayoutView="100" workbookViewId="0">
      <pane xSplit="3" ySplit="8" topLeftCell="D42" activePane="bottomRight" state="frozen"/>
      <selection pane="topRight" activeCell="D1" sqref="D1"/>
      <selection pane="bottomLeft" activeCell="A9" sqref="A9"/>
      <selection pane="bottomRight" activeCell="A8" sqref="A8"/>
    </sheetView>
  </sheetViews>
  <sheetFormatPr defaultColWidth="7" defaultRowHeight="13.2" x14ac:dyDescent="0.25"/>
  <cols>
    <col min="1" max="1" width="9.6640625" style="388" customWidth="1"/>
    <col min="2" max="2" width="13.33203125" style="388" customWidth="1"/>
    <col min="3" max="3" width="9.6640625" style="388" customWidth="1"/>
    <col min="4" max="4" width="28.44140625" style="386" customWidth="1"/>
    <col min="5" max="5" width="29.6640625" style="337" customWidth="1"/>
    <col min="6" max="6" width="11.109375" style="337" bestFit="1" customWidth="1"/>
    <col min="7" max="7" width="15.33203125" style="337" bestFit="1" customWidth="1"/>
    <col min="8" max="9" width="7" style="337"/>
    <col min="10" max="10" width="11" style="337" bestFit="1" customWidth="1"/>
    <col min="11" max="13" width="7" style="337"/>
    <col min="14" max="14" width="24.88671875" style="337" customWidth="1"/>
    <col min="15" max="15" width="10.6640625" style="337" customWidth="1"/>
    <col min="16" max="16384" width="7" style="337"/>
  </cols>
  <sheetData>
    <row r="3" spans="1:14" ht="9.75" customHeight="1" x14ac:dyDescent="0.25">
      <c r="A3" s="335"/>
      <c r="B3" s="335"/>
      <c r="C3" s="335"/>
      <c r="D3" s="336"/>
      <c r="E3" s="335"/>
    </row>
    <row r="4" spans="1:14" ht="9.75" customHeight="1" x14ac:dyDescent="0.25">
      <c r="A4" s="335"/>
      <c r="B4" s="335"/>
      <c r="C4" s="335"/>
      <c r="D4" s="336"/>
      <c r="E4" s="335"/>
    </row>
    <row r="5" spans="1:14" ht="9.75" customHeight="1" x14ac:dyDescent="0.25">
      <c r="A5" s="335"/>
      <c r="B5" s="335"/>
      <c r="C5" s="335"/>
      <c r="D5" s="336"/>
      <c r="E5" s="335"/>
    </row>
    <row r="6" spans="1:14" ht="16.5" customHeight="1" x14ac:dyDescent="0.25">
      <c r="A6" s="415" t="s">
        <v>332</v>
      </c>
      <c r="B6" s="415"/>
      <c r="C6" s="415"/>
      <c r="D6" s="415"/>
      <c r="E6" s="415"/>
      <c r="G6" s="337" t="s">
        <v>275</v>
      </c>
    </row>
    <row r="7" spans="1:14" s="338" customFormat="1" ht="13.5" customHeight="1" x14ac:dyDescent="0.25">
      <c r="D7" s="339"/>
      <c r="G7" s="340">
        <v>450000000</v>
      </c>
    </row>
    <row r="8" spans="1:14" s="343" customFormat="1" ht="24.9" customHeight="1" x14ac:dyDescent="0.25">
      <c r="A8" s="341" t="s">
        <v>76</v>
      </c>
      <c r="B8" s="417" t="s">
        <v>115</v>
      </c>
      <c r="C8" s="418"/>
      <c r="D8" s="342" t="s">
        <v>77</v>
      </c>
      <c r="E8" s="342" t="s">
        <v>78</v>
      </c>
      <c r="G8" s="340"/>
    </row>
    <row r="9" spans="1:14" s="351" customFormat="1" ht="18" customHeight="1" x14ac:dyDescent="0.25">
      <c r="A9" s="344"/>
      <c r="B9" s="345" t="s">
        <v>315</v>
      </c>
      <c r="C9" s="346"/>
      <c r="D9" s="347">
        <v>2.3293721000000005</v>
      </c>
      <c r="E9" s="348">
        <f>(D9/100)*$G$7</f>
        <v>10482174.450000001</v>
      </c>
      <c r="F9" s="349"/>
      <c r="G9" s="350"/>
      <c r="N9" s="352"/>
    </row>
    <row r="10" spans="1:14" s="351" customFormat="1" ht="18" customHeight="1" x14ac:dyDescent="0.25">
      <c r="A10" s="344"/>
      <c r="B10" s="345" t="s">
        <v>311</v>
      </c>
      <c r="C10" s="346"/>
      <c r="D10" s="347">
        <v>1.407037202325581</v>
      </c>
      <c r="E10" s="348">
        <f>(D10/100)*$G$7</f>
        <v>6331667.4104651147</v>
      </c>
      <c r="F10" s="349"/>
      <c r="G10" s="350"/>
      <c r="N10" s="352"/>
    </row>
    <row r="11" spans="1:14" s="351" customFormat="1" ht="18" customHeight="1" x14ac:dyDescent="0.25">
      <c r="A11" s="344"/>
      <c r="B11" s="345" t="s">
        <v>312</v>
      </c>
      <c r="C11" s="346"/>
      <c r="D11" s="347">
        <v>2.4089999999999998</v>
      </c>
      <c r="E11" s="348">
        <f>(D11/100)*$G$7</f>
        <v>10840499.999999998</v>
      </c>
      <c r="F11" s="349"/>
      <c r="G11" s="350"/>
      <c r="N11" s="352"/>
    </row>
    <row r="12" spans="1:14" s="351" customFormat="1" ht="18" customHeight="1" x14ac:dyDescent="0.25">
      <c r="A12" s="344"/>
      <c r="B12" s="345" t="s">
        <v>313</v>
      </c>
      <c r="C12" s="346"/>
      <c r="D12" s="347">
        <v>2.8023813953488372</v>
      </c>
      <c r="E12" s="348">
        <f>(D12/100)*$G$7</f>
        <v>12610716.279069768</v>
      </c>
      <c r="F12" s="349"/>
      <c r="G12" s="350"/>
      <c r="K12" s="353"/>
      <c r="N12" s="352"/>
    </row>
    <row r="13" spans="1:14" s="351" customFormat="1" ht="18" customHeight="1" x14ac:dyDescent="0.25">
      <c r="A13" s="344"/>
      <c r="B13" s="345" t="s">
        <v>314</v>
      </c>
      <c r="C13" s="346"/>
      <c r="D13" s="347">
        <v>2.5612093023255813</v>
      </c>
      <c r="E13" s="348">
        <f>(D13/100)*$G$7</f>
        <v>11525441.860465115</v>
      </c>
      <c r="F13" s="349"/>
      <c r="G13" s="350"/>
      <c r="K13" s="353"/>
      <c r="N13" s="352"/>
    </row>
    <row r="14" spans="1:14" s="351" customFormat="1" ht="18" customHeight="1" x14ac:dyDescent="0.25">
      <c r="A14" s="344"/>
      <c r="B14" s="345" t="s">
        <v>316</v>
      </c>
      <c r="C14" s="346"/>
      <c r="D14" s="347">
        <v>1.9550000000000001</v>
      </c>
      <c r="E14" s="348">
        <f>(D14/100)*$G$7</f>
        <v>8797500</v>
      </c>
      <c r="F14" s="349"/>
      <c r="G14" s="350"/>
      <c r="N14" s="352"/>
    </row>
    <row r="15" spans="1:14" s="351" customFormat="1" ht="18" customHeight="1" x14ac:dyDescent="0.25">
      <c r="A15" s="344"/>
      <c r="B15" s="345" t="s">
        <v>317</v>
      </c>
      <c r="C15" s="346"/>
      <c r="D15" s="347">
        <v>2.0219999999999998</v>
      </c>
      <c r="E15" s="348">
        <f>(D15/100)*$G$7</f>
        <v>9099000</v>
      </c>
      <c r="F15" s="349"/>
      <c r="G15" s="350"/>
      <c r="N15" s="352"/>
    </row>
    <row r="16" spans="1:14" s="351" customFormat="1" ht="18" customHeight="1" x14ac:dyDescent="0.25">
      <c r="A16" s="344"/>
      <c r="B16" s="345" t="s">
        <v>318</v>
      </c>
      <c r="C16" s="346"/>
      <c r="D16" s="347">
        <v>0.51400000000000001</v>
      </c>
      <c r="E16" s="348">
        <f>(D16/100)*$G$7</f>
        <v>2313000</v>
      </c>
      <c r="F16" s="349"/>
      <c r="G16" s="350"/>
      <c r="N16" s="352"/>
    </row>
    <row r="17" spans="1:15" s="343" customFormat="1" ht="18" customHeight="1" x14ac:dyDescent="0.25">
      <c r="A17" s="354">
        <v>1</v>
      </c>
      <c r="B17" s="355" t="s">
        <v>112</v>
      </c>
      <c r="C17" s="356"/>
      <c r="D17" s="357">
        <f>SUM(D9:D16)</f>
        <v>16</v>
      </c>
      <c r="E17" s="358">
        <f>(D17/100)*$G$7</f>
        <v>72000000</v>
      </c>
      <c r="F17" s="349"/>
      <c r="G17" s="359"/>
      <c r="N17" s="360"/>
      <c r="O17" s="361">
        <f>E17-N17</f>
        <v>72000000</v>
      </c>
    </row>
    <row r="18" spans="1:15" s="343" customFormat="1" ht="18" customHeight="1" x14ac:dyDescent="0.25">
      <c r="A18" s="344"/>
      <c r="B18" s="345" t="s">
        <v>85</v>
      </c>
      <c r="C18" s="346"/>
      <c r="D18" s="362">
        <v>2.9</v>
      </c>
      <c r="E18" s="348">
        <f>(D18/100)*$G$7</f>
        <v>13050000</v>
      </c>
      <c r="F18" s="363"/>
    </row>
    <row r="19" spans="1:15" s="343" customFormat="1" ht="18" customHeight="1" x14ac:dyDescent="0.25">
      <c r="A19" s="344"/>
      <c r="B19" s="345" t="s">
        <v>86</v>
      </c>
      <c r="C19" s="346"/>
      <c r="D19" s="362">
        <v>3.32</v>
      </c>
      <c r="E19" s="348">
        <f>(D19/100)*$G$7</f>
        <v>14940000</v>
      </c>
      <c r="F19" s="363"/>
      <c r="G19" s="364"/>
    </row>
    <row r="20" spans="1:15" s="343" customFormat="1" ht="18" customHeight="1" x14ac:dyDescent="0.25">
      <c r="A20" s="344"/>
      <c r="B20" s="345" t="s">
        <v>87</v>
      </c>
      <c r="C20" s="346"/>
      <c r="D20" s="362">
        <v>2.93</v>
      </c>
      <c r="E20" s="348">
        <f>(D20/100)*$G$7</f>
        <v>13185000.000000002</v>
      </c>
      <c r="F20" s="363"/>
    </row>
    <row r="21" spans="1:15" s="343" customFormat="1" ht="18" customHeight="1" x14ac:dyDescent="0.25">
      <c r="A21" s="354">
        <v>2</v>
      </c>
      <c r="B21" s="355" t="s">
        <v>114</v>
      </c>
      <c r="C21" s="356"/>
      <c r="D21" s="365">
        <f>D20+D19+D18</f>
        <v>9.15</v>
      </c>
      <c r="E21" s="358">
        <f>(D21/100)*$G$7</f>
        <v>41175000</v>
      </c>
      <c r="F21" s="360"/>
    </row>
    <row r="22" spans="1:15" s="343" customFormat="1" ht="18" customHeight="1" x14ac:dyDescent="0.25">
      <c r="A22" s="344"/>
      <c r="B22" s="345" t="s">
        <v>319</v>
      </c>
      <c r="C22" s="346"/>
      <c r="D22" s="362">
        <v>2.4950000000000001</v>
      </c>
      <c r="E22" s="348">
        <f>(D22/100)*$G$7</f>
        <v>11227500</v>
      </c>
      <c r="F22" s="360"/>
    </row>
    <row r="23" spans="1:15" s="343" customFormat="1" ht="18" customHeight="1" x14ac:dyDescent="0.25">
      <c r="A23" s="344"/>
      <c r="B23" s="345" t="s">
        <v>320</v>
      </c>
      <c r="C23" s="346"/>
      <c r="D23" s="362">
        <v>2.089</v>
      </c>
      <c r="E23" s="348">
        <f>(D23/100)*$G$7</f>
        <v>9400500</v>
      </c>
      <c r="F23" s="360"/>
    </row>
    <row r="24" spans="1:15" s="343" customFormat="1" ht="18" customHeight="1" x14ac:dyDescent="0.25">
      <c r="A24" s="344"/>
      <c r="B24" s="345" t="s">
        <v>321</v>
      </c>
      <c r="C24" s="346"/>
      <c r="D24" s="362">
        <v>2.21</v>
      </c>
      <c r="E24" s="348">
        <f>(D24/100)*$G$7</f>
        <v>9945000</v>
      </c>
      <c r="F24" s="360"/>
    </row>
    <row r="25" spans="1:15" s="343" customFormat="1" ht="18" customHeight="1" x14ac:dyDescent="0.25">
      <c r="A25" s="354">
        <v>3</v>
      </c>
      <c r="B25" s="419" t="s">
        <v>113</v>
      </c>
      <c r="C25" s="420"/>
      <c r="D25" s="365">
        <f>D22+D23+D24</f>
        <v>6.7939999999999996</v>
      </c>
      <c r="E25" s="358">
        <f>(D25/100)*$G$7</f>
        <v>30573000</v>
      </c>
      <c r="F25" s="360"/>
      <c r="H25" s="366"/>
    </row>
    <row r="26" spans="1:15" s="343" customFormat="1" ht="18" customHeight="1" x14ac:dyDescent="0.25">
      <c r="A26" s="344"/>
      <c r="B26" s="345" t="s">
        <v>322</v>
      </c>
      <c r="C26" s="346"/>
      <c r="D26" s="362">
        <v>3.11</v>
      </c>
      <c r="E26" s="348">
        <f>(D26/100)*$G$7</f>
        <v>13995000</v>
      </c>
      <c r="F26" s="360"/>
      <c r="I26" s="366"/>
    </row>
    <row r="27" spans="1:15" s="343" customFormat="1" ht="18" customHeight="1" x14ac:dyDescent="0.25">
      <c r="A27" s="344"/>
      <c r="B27" s="345" t="s">
        <v>323</v>
      </c>
      <c r="C27" s="346"/>
      <c r="D27" s="362">
        <v>2.9039999999999999</v>
      </c>
      <c r="E27" s="348">
        <f>(D27/100)*$G$7</f>
        <v>13068000</v>
      </c>
      <c r="F27" s="360"/>
    </row>
    <row r="28" spans="1:15" s="343" customFormat="1" ht="18" customHeight="1" x14ac:dyDescent="0.25">
      <c r="A28" s="392">
        <v>4</v>
      </c>
      <c r="B28" s="421" t="s">
        <v>300</v>
      </c>
      <c r="C28" s="422"/>
      <c r="D28" s="367">
        <f>D26+D27</f>
        <v>6.0139999999999993</v>
      </c>
      <c r="E28" s="358">
        <f>(D28/100)*$G$7</f>
        <v>27062999.999999996</v>
      </c>
      <c r="F28" s="360"/>
    </row>
    <row r="29" spans="1:15" s="343" customFormat="1" ht="18" customHeight="1" x14ac:dyDescent="0.25">
      <c r="A29" s="344"/>
      <c r="B29" s="345" t="s">
        <v>309</v>
      </c>
      <c r="C29" s="346"/>
      <c r="D29" s="362">
        <v>2.85</v>
      </c>
      <c r="E29" s="348">
        <f>(D29/100)*$G$7</f>
        <v>12825000</v>
      </c>
      <c r="F29" s="368"/>
    </row>
    <row r="30" spans="1:15" s="343" customFormat="1" ht="18" customHeight="1" x14ac:dyDescent="0.25">
      <c r="A30" s="344"/>
      <c r="B30" s="345" t="s">
        <v>310</v>
      </c>
      <c r="C30" s="346"/>
      <c r="D30" s="362">
        <v>2.8</v>
      </c>
      <c r="E30" s="348">
        <f>(D30/100)*$G$7</f>
        <v>12599999.999999998</v>
      </c>
      <c r="F30" s="368"/>
    </row>
    <row r="31" spans="1:15" s="343" customFormat="1" ht="18" customHeight="1" x14ac:dyDescent="0.25">
      <c r="A31" s="369">
        <v>5</v>
      </c>
      <c r="B31" s="419" t="s">
        <v>267</v>
      </c>
      <c r="C31" s="420"/>
      <c r="D31" s="365">
        <f>D29+D30</f>
        <v>5.65</v>
      </c>
      <c r="E31" s="358">
        <f>(D31/100)*$G$7</f>
        <v>25425000</v>
      </c>
      <c r="F31" s="360"/>
    </row>
    <row r="32" spans="1:15" s="343" customFormat="1" ht="18" customHeight="1" x14ac:dyDescent="0.25">
      <c r="A32" s="344">
        <v>6</v>
      </c>
      <c r="B32" s="345" t="s">
        <v>90</v>
      </c>
      <c r="C32" s="346"/>
      <c r="D32" s="362">
        <v>5.35</v>
      </c>
      <c r="E32" s="348">
        <f>(D32/100)*$G$7</f>
        <v>24075000</v>
      </c>
      <c r="F32" s="360"/>
    </row>
    <row r="33" spans="1:9" s="343" customFormat="1" ht="18" customHeight="1" x14ac:dyDescent="0.25">
      <c r="A33" s="344">
        <v>7</v>
      </c>
      <c r="B33" s="370" t="s">
        <v>93</v>
      </c>
      <c r="C33" s="371"/>
      <c r="D33" s="362">
        <v>5.2</v>
      </c>
      <c r="E33" s="348">
        <f>(D33/100)*$G$7</f>
        <v>23400000.000000004</v>
      </c>
      <c r="F33" s="368"/>
    </row>
    <row r="34" spans="1:9" s="343" customFormat="1" ht="18" customHeight="1" x14ac:dyDescent="0.25">
      <c r="A34" s="344">
        <v>8</v>
      </c>
      <c r="B34" s="345" t="s">
        <v>97</v>
      </c>
      <c r="C34" s="346"/>
      <c r="D34" s="362">
        <v>4.5999999999999996</v>
      </c>
      <c r="E34" s="348">
        <f>(D34/100)*$G$7</f>
        <v>20700000</v>
      </c>
      <c r="F34" s="360"/>
    </row>
    <row r="35" spans="1:9" s="343" customFormat="1" ht="18" customHeight="1" x14ac:dyDescent="0.25">
      <c r="A35" s="344">
        <v>9</v>
      </c>
      <c r="B35" s="345" t="s">
        <v>91</v>
      </c>
      <c r="C35" s="346"/>
      <c r="D35" s="362">
        <v>4.4859999999999998</v>
      </c>
      <c r="E35" s="348">
        <f>(D35/100)*$G$7</f>
        <v>20187000</v>
      </c>
      <c r="F35" s="360"/>
    </row>
    <row r="36" spans="1:9" s="343" customFormat="1" ht="18" customHeight="1" x14ac:dyDescent="0.25">
      <c r="A36" s="344">
        <v>10</v>
      </c>
      <c r="B36" s="372" t="s">
        <v>39</v>
      </c>
      <c r="C36" s="373"/>
      <c r="D36" s="362">
        <v>4.2</v>
      </c>
      <c r="E36" s="348">
        <f>(D36/100)*$G$7</f>
        <v>18900000</v>
      </c>
      <c r="F36" s="360"/>
    </row>
    <row r="37" spans="1:9" s="343" customFormat="1" ht="18" customHeight="1" x14ac:dyDescent="0.25">
      <c r="A37" s="344">
        <v>11</v>
      </c>
      <c r="B37" s="345" t="s">
        <v>99</v>
      </c>
      <c r="C37" s="346"/>
      <c r="D37" s="362">
        <v>3.95</v>
      </c>
      <c r="E37" s="348">
        <f>(D37/100)*$G$7</f>
        <v>17775000</v>
      </c>
      <c r="F37" s="360"/>
    </row>
    <row r="38" spans="1:9" s="343" customFormat="1" ht="18" customHeight="1" x14ac:dyDescent="0.25">
      <c r="A38" s="344">
        <v>12</v>
      </c>
      <c r="B38" s="372" t="s">
        <v>100</v>
      </c>
      <c r="C38" s="373"/>
      <c r="D38" s="362">
        <v>3.95</v>
      </c>
      <c r="E38" s="348">
        <f>(D38/100)*$G$7</f>
        <v>17775000</v>
      </c>
    </row>
    <row r="39" spans="1:9" s="343" customFormat="1" ht="18" customHeight="1" x14ac:dyDescent="0.25">
      <c r="A39" s="344">
        <v>13</v>
      </c>
      <c r="B39" s="345" t="s">
        <v>92</v>
      </c>
      <c r="C39" s="346"/>
      <c r="D39" s="362">
        <v>3.88</v>
      </c>
      <c r="E39" s="348">
        <f>(D39/100)*$G$7</f>
        <v>17460000</v>
      </c>
    </row>
    <row r="40" spans="1:9" s="343" customFormat="1" ht="18" customHeight="1" x14ac:dyDescent="0.25">
      <c r="A40" s="344">
        <v>14</v>
      </c>
      <c r="B40" s="345" t="s">
        <v>69</v>
      </c>
      <c r="C40" s="346"/>
      <c r="D40" s="362">
        <v>3.75</v>
      </c>
      <c r="E40" s="348">
        <f>(D40/100)*$G$7</f>
        <v>16875000</v>
      </c>
      <c r="F40" s="368"/>
    </row>
    <row r="41" spans="1:9" s="343" customFormat="1" ht="18" customHeight="1" x14ac:dyDescent="0.25">
      <c r="A41" s="344">
        <v>15</v>
      </c>
      <c r="B41" s="374" t="s">
        <v>152</v>
      </c>
      <c r="C41" s="371"/>
      <c r="D41" s="362">
        <v>3.3600000000000003</v>
      </c>
      <c r="E41" s="348">
        <f>(D41/100)*$G$7</f>
        <v>15120000.000000002</v>
      </c>
    </row>
    <row r="42" spans="1:9" s="343" customFormat="1" ht="18" customHeight="1" x14ac:dyDescent="0.25">
      <c r="A42" s="344">
        <v>16</v>
      </c>
      <c r="B42" s="345" t="s">
        <v>101</v>
      </c>
      <c r="C42" s="346"/>
      <c r="D42" s="362">
        <v>3.26</v>
      </c>
      <c r="E42" s="348">
        <f>(D42/100)*$G$7</f>
        <v>14669999.999999998</v>
      </c>
    </row>
    <row r="43" spans="1:9" s="343" customFormat="1" ht="18" customHeight="1" x14ac:dyDescent="0.25">
      <c r="A43" s="344">
        <v>17</v>
      </c>
      <c r="B43" s="372" t="s">
        <v>103</v>
      </c>
      <c r="C43" s="373"/>
      <c r="D43" s="375">
        <v>3.16</v>
      </c>
      <c r="E43" s="348">
        <f>(D43/100)*$G$7</f>
        <v>14220000.000000002</v>
      </c>
    </row>
    <row r="44" spans="1:9" s="343" customFormat="1" ht="18" customHeight="1" x14ac:dyDescent="0.25">
      <c r="A44" s="344">
        <v>18</v>
      </c>
      <c r="B44" s="374" t="s">
        <v>95</v>
      </c>
      <c r="C44" s="371"/>
      <c r="D44" s="362">
        <v>3.0600000000000005</v>
      </c>
      <c r="E44" s="348">
        <f>(D44/100)*$G$7</f>
        <v>13770000.000000002</v>
      </c>
    </row>
    <row r="45" spans="1:9" s="343" customFormat="1" ht="18" customHeight="1" x14ac:dyDescent="0.25">
      <c r="A45" s="344">
        <v>19</v>
      </c>
      <c r="B45" s="345" t="s">
        <v>102</v>
      </c>
      <c r="C45" s="346"/>
      <c r="D45" s="362">
        <v>2.8860000000000001</v>
      </c>
      <c r="E45" s="348">
        <f>(D45/100)*$G$7</f>
        <v>12987000</v>
      </c>
      <c r="I45" s="366"/>
    </row>
    <row r="46" spans="1:9" s="343" customFormat="1" ht="18" customHeight="1" x14ac:dyDescent="0.25">
      <c r="A46" s="344">
        <v>20</v>
      </c>
      <c r="B46" s="345" t="s">
        <v>104</v>
      </c>
      <c r="C46" s="346"/>
      <c r="D46" s="375">
        <v>2.2999999999999998</v>
      </c>
      <c r="E46" s="348">
        <f>(D46/100)*$G$7</f>
        <v>10350000</v>
      </c>
    </row>
    <row r="47" spans="1:9" s="382" customFormat="1" ht="18" customHeight="1" x14ac:dyDescent="0.25">
      <c r="A47" s="345"/>
      <c r="B47" s="376" t="s">
        <v>263</v>
      </c>
      <c r="C47" s="377"/>
      <c r="D47" s="378">
        <f>SUM(D17,D21,D25,D28,D31,SUM(D32:D46))</f>
        <v>101</v>
      </c>
      <c r="E47" s="379">
        <f>SUM(E17,E21,E25,E28,E31,SUM(E32:E46))</f>
        <v>454500000</v>
      </c>
      <c r="F47" s="380"/>
      <c r="G47" s="381"/>
    </row>
    <row r="48" spans="1:9" ht="18" customHeight="1" x14ac:dyDescent="0.25">
      <c r="A48" s="383"/>
      <c r="B48" s="383"/>
      <c r="C48" s="383"/>
      <c r="D48" s="339"/>
      <c r="E48" s="384"/>
    </row>
    <row r="49" spans="1:5" ht="18" customHeight="1" x14ac:dyDescent="0.25">
      <c r="A49" s="383"/>
      <c r="B49" s="383"/>
      <c r="C49" s="383"/>
      <c r="D49" s="339"/>
      <c r="E49" s="384"/>
    </row>
    <row r="50" spans="1:5" x14ac:dyDescent="0.25">
      <c r="A50" s="385"/>
      <c r="B50" s="385"/>
      <c r="C50" s="385"/>
    </row>
    <row r="51" spans="1:5" x14ac:dyDescent="0.25">
      <c r="A51" s="385"/>
      <c r="B51" s="385"/>
      <c r="C51" s="385"/>
    </row>
    <row r="52" spans="1:5" ht="15" x14ac:dyDescent="0.25">
      <c r="A52" s="385"/>
      <c r="B52" s="387"/>
      <c r="E52" s="387"/>
    </row>
    <row r="53" spans="1:5" ht="26.25" customHeight="1" x14ac:dyDescent="0.25">
      <c r="A53" s="385"/>
      <c r="B53" s="387"/>
      <c r="E53" s="387"/>
    </row>
    <row r="54" spans="1:5" ht="15" x14ac:dyDescent="0.25">
      <c r="B54" s="351"/>
      <c r="E54" s="343"/>
    </row>
    <row r="55" spans="1:5" ht="15" x14ac:dyDescent="0.25">
      <c r="B55" s="387"/>
      <c r="E55" s="387"/>
    </row>
    <row r="56" spans="1:5" s="389" customFormat="1" ht="15" x14ac:dyDescent="0.25">
      <c r="B56" s="390"/>
      <c r="D56" s="391"/>
      <c r="E56" s="390"/>
    </row>
    <row r="57" spans="1:5" s="389" customFormat="1" ht="24" customHeight="1" x14ac:dyDescent="0.25">
      <c r="A57" s="388"/>
      <c r="B57" s="387"/>
      <c r="D57" s="391"/>
      <c r="E57" s="387"/>
    </row>
    <row r="58" spans="1:5" s="389" customFormat="1" x14ac:dyDescent="0.25">
      <c r="A58" s="388"/>
      <c r="B58" s="388"/>
      <c r="C58" s="388"/>
      <c r="D58" s="391"/>
    </row>
    <row r="60" spans="1:5" ht="11.25" customHeight="1" x14ac:dyDescent="0.25"/>
  </sheetData>
  <mergeCells count="5">
    <mergeCell ref="A6:E6"/>
    <mergeCell ref="B8:C8"/>
    <mergeCell ref="B25:C25"/>
    <mergeCell ref="B28:C28"/>
    <mergeCell ref="B31:C31"/>
  </mergeCells>
  <printOptions horizontalCentered="1"/>
  <pageMargins left="0.5" right="0.7" top="0.37" bottom="0.32" header="0.3" footer="0.3"/>
  <pageSetup paperSize="9" scale="86" orientation="portrait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O59"/>
  <sheetViews>
    <sheetView showGridLines="0" view="pageBreakPreview" topLeftCell="A31" zoomScaleNormal="100" zoomScaleSheetLayoutView="100" workbookViewId="0">
      <selection activeCell="D24" sqref="D24"/>
    </sheetView>
  </sheetViews>
  <sheetFormatPr defaultColWidth="7" defaultRowHeight="13.2" x14ac:dyDescent="0.25"/>
  <cols>
    <col min="1" max="1" width="9.6640625" style="388" customWidth="1"/>
    <col min="2" max="2" width="13.33203125" style="388" customWidth="1"/>
    <col min="3" max="3" width="9.6640625" style="388" customWidth="1"/>
    <col min="4" max="4" width="28.44140625" style="386" customWidth="1"/>
    <col min="5" max="5" width="29.6640625" style="337" customWidth="1"/>
    <col min="6" max="6" width="11.109375" style="337" bestFit="1" customWidth="1"/>
    <col min="7" max="7" width="15.33203125" style="337" bestFit="1" customWidth="1"/>
    <col min="8" max="9" width="7" style="337"/>
    <col min="10" max="10" width="11" style="337" bestFit="1" customWidth="1"/>
    <col min="11" max="13" width="7" style="337"/>
    <col min="14" max="14" width="24.88671875" style="337" customWidth="1"/>
    <col min="15" max="15" width="10.6640625" style="337" customWidth="1"/>
    <col min="16" max="16384" width="7" style="337"/>
  </cols>
  <sheetData>
    <row r="3" spans="1:14" ht="9.75" customHeight="1" x14ac:dyDescent="0.25">
      <c r="A3" s="335"/>
      <c r="B3" s="335"/>
      <c r="C3" s="335"/>
      <c r="D3" s="336"/>
      <c r="E3" s="335"/>
    </row>
    <row r="4" spans="1:14" ht="9.75" customHeight="1" x14ac:dyDescent="0.25">
      <c r="A4" s="335"/>
      <c r="B4" s="335"/>
      <c r="C4" s="335"/>
      <c r="D4" s="336"/>
      <c r="E4" s="335"/>
    </row>
    <row r="5" spans="1:14" ht="9.75" customHeight="1" x14ac:dyDescent="0.25">
      <c r="A5" s="335"/>
      <c r="B5" s="335"/>
      <c r="C5" s="335"/>
      <c r="D5" s="336"/>
      <c r="E5" s="335"/>
    </row>
    <row r="6" spans="1:14" ht="16.5" customHeight="1" x14ac:dyDescent="0.25">
      <c r="A6" s="415" t="s">
        <v>301</v>
      </c>
      <c r="B6" s="416"/>
      <c r="C6" s="416"/>
      <c r="D6" s="416"/>
      <c r="E6" s="416"/>
      <c r="G6" s="337" t="s">
        <v>275</v>
      </c>
    </row>
    <row r="7" spans="1:14" s="338" customFormat="1" ht="13.5" customHeight="1" x14ac:dyDescent="0.25">
      <c r="D7" s="339"/>
      <c r="G7" s="340">
        <v>450000000</v>
      </c>
    </row>
    <row r="8" spans="1:14" s="343" customFormat="1" ht="24.9" customHeight="1" x14ac:dyDescent="0.25">
      <c r="A8" s="341" t="s">
        <v>76</v>
      </c>
      <c r="B8" s="417" t="s">
        <v>115</v>
      </c>
      <c r="C8" s="418"/>
      <c r="D8" s="342" t="s">
        <v>77</v>
      </c>
      <c r="E8" s="342" t="s">
        <v>78</v>
      </c>
      <c r="G8" s="340"/>
    </row>
    <row r="9" spans="1:14" s="351" customFormat="1" ht="18" customHeight="1" x14ac:dyDescent="0.25">
      <c r="A9" s="344"/>
      <c r="B9" s="345" t="s">
        <v>79</v>
      </c>
      <c r="C9" s="346"/>
      <c r="D9" s="347">
        <v>2.3293721000000005</v>
      </c>
      <c r="E9" s="348">
        <f>(D9/100)*$G$7</f>
        <v>10482174.450000001</v>
      </c>
      <c r="F9" s="349"/>
      <c r="G9" s="350"/>
      <c r="N9" s="352">
        <v>9783362.8200000022</v>
      </c>
    </row>
    <row r="10" spans="1:14" s="351" customFormat="1" ht="18" customHeight="1" x14ac:dyDescent="0.25">
      <c r="A10" s="344"/>
      <c r="B10" s="345" t="s">
        <v>80</v>
      </c>
      <c r="C10" s="346"/>
      <c r="D10" s="347">
        <v>1.407037202325581</v>
      </c>
      <c r="E10" s="348">
        <f t="shared" ref="E10:E16" si="0">(D10/100)*$G$7</f>
        <v>6331667.4104651147</v>
      </c>
      <c r="F10" s="349"/>
      <c r="G10" s="350"/>
      <c r="N10" s="352">
        <v>5909556.2497674404</v>
      </c>
    </row>
    <row r="11" spans="1:14" s="351" customFormat="1" ht="18" customHeight="1" x14ac:dyDescent="0.25">
      <c r="A11" s="344"/>
      <c r="B11" s="345" t="s">
        <v>81</v>
      </c>
      <c r="C11" s="346"/>
      <c r="D11" s="347">
        <v>2.4089999999999998</v>
      </c>
      <c r="E11" s="348">
        <f t="shared" si="0"/>
        <v>10840499.999999998</v>
      </c>
      <c r="F11" s="349"/>
      <c r="G11" s="350"/>
      <c r="N11" s="352">
        <v>10117799.999999998</v>
      </c>
    </row>
    <row r="12" spans="1:14" s="351" customFormat="1" ht="18" customHeight="1" x14ac:dyDescent="0.25">
      <c r="A12" s="344"/>
      <c r="B12" s="345" t="s">
        <v>82</v>
      </c>
      <c r="C12" s="346"/>
      <c r="D12" s="347">
        <v>2.8023813953488372</v>
      </c>
      <c r="E12" s="348">
        <f t="shared" si="0"/>
        <v>12610716.279069768</v>
      </c>
      <c r="F12" s="349"/>
      <c r="G12" s="350"/>
      <c r="K12" s="353"/>
      <c r="N12" s="352">
        <v>11770001.860465117</v>
      </c>
    </row>
    <row r="13" spans="1:14" s="351" customFormat="1" ht="18" customHeight="1" x14ac:dyDescent="0.25">
      <c r="A13" s="344"/>
      <c r="B13" s="345" t="s">
        <v>83</v>
      </c>
      <c r="C13" s="346"/>
      <c r="D13" s="347">
        <v>2.5612093023255813</v>
      </c>
      <c r="E13" s="348">
        <f t="shared" si="0"/>
        <v>11525441.860465115</v>
      </c>
      <c r="F13" s="349"/>
      <c r="G13" s="350"/>
      <c r="K13" s="353"/>
      <c r="N13" s="352">
        <v>10757079.069767442</v>
      </c>
    </row>
    <row r="14" spans="1:14" s="351" customFormat="1" ht="18" customHeight="1" x14ac:dyDescent="0.25">
      <c r="A14" s="344"/>
      <c r="B14" s="345" t="s">
        <v>84</v>
      </c>
      <c r="C14" s="346"/>
      <c r="D14" s="347">
        <v>1.9550000000000001</v>
      </c>
      <c r="E14" s="348">
        <f t="shared" si="0"/>
        <v>8797500</v>
      </c>
      <c r="F14" s="349"/>
      <c r="G14" s="350"/>
      <c r="N14" s="352">
        <v>8211000.0000000009</v>
      </c>
    </row>
    <row r="15" spans="1:14" s="351" customFormat="1" ht="18" customHeight="1" x14ac:dyDescent="0.25">
      <c r="A15" s="344"/>
      <c r="B15" s="345" t="s">
        <v>268</v>
      </c>
      <c r="C15" s="346"/>
      <c r="D15" s="347">
        <v>2.0219999999999998</v>
      </c>
      <c r="E15" s="348">
        <f t="shared" si="0"/>
        <v>9099000</v>
      </c>
      <c r="F15" s="349"/>
      <c r="G15" s="350"/>
      <c r="N15" s="352">
        <v>8492400</v>
      </c>
    </row>
    <row r="16" spans="1:14" s="351" customFormat="1" ht="18" customHeight="1" x14ac:dyDescent="0.25">
      <c r="A16" s="344"/>
      <c r="B16" s="345" t="s">
        <v>269</v>
      </c>
      <c r="C16" s="346"/>
      <c r="D16" s="347">
        <v>0.51400000000000001</v>
      </c>
      <c r="E16" s="348">
        <f t="shared" si="0"/>
        <v>2313000</v>
      </c>
      <c r="F16" s="349"/>
      <c r="G16" s="350"/>
      <c r="N16" s="352">
        <v>2158800</v>
      </c>
    </row>
    <row r="17" spans="1:15" s="343" customFormat="1" ht="18" customHeight="1" x14ac:dyDescent="0.25">
      <c r="A17" s="354">
        <v>1</v>
      </c>
      <c r="B17" s="355" t="s">
        <v>112</v>
      </c>
      <c r="C17" s="356"/>
      <c r="D17" s="357">
        <f>SUM(D9:D16)</f>
        <v>16</v>
      </c>
      <c r="E17" s="358">
        <f>(D17/100)*$G$7</f>
        <v>72000000</v>
      </c>
      <c r="F17" s="349"/>
      <c r="G17" s="359"/>
      <c r="N17" s="360">
        <v>67200000</v>
      </c>
      <c r="O17" s="361">
        <f>E17-N17</f>
        <v>4800000</v>
      </c>
    </row>
    <row r="18" spans="1:15" s="343" customFormat="1" ht="18" customHeight="1" x14ac:dyDescent="0.25">
      <c r="A18" s="344"/>
      <c r="B18" s="345" t="s">
        <v>85</v>
      </c>
      <c r="C18" s="346"/>
      <c r="D18" s="362">
        <v>2.9</v>
      </c>
      <c r="E18" s="348">
        <f>(D18/100)*$G$7</f>
        <v>13050000</v>
      </c>
      <c r="F18" s="363"/>
    </row>
    <row r="19" spans="1:15" s="343" customFormat="1" ht="18" customHeight="1" x14ac:dyDescent="0.25">
      <c r="A19" s="344"/>
      <c r="B19" s="345" t="s">
        <v>86</v>
      </c>
      <c r="C19" s="346"/>
      <c r="D19" s="362">
        <v>3.32</v>
      </c>
      <c r="E19" s="348">
        <f t="shared" ref="E19:E45" si="1">(D19/100)*$G$7</f>
        <v>14940000</v>
      </c>
      <c r="F19" s="363"/>
      <c r="G19" s="364"/>
    </row>
    <row r="20" spans="1:15" s="343" customFormat="1" ht="18" customHeight="1" x14ac:dyDescent="0.25">
      <c r="A20" s="344"/>
      <c r="B20" s="345" t="s">
        <v>87</v>
      </c>
      <c r="C20" s="346"/>
      <c r="D20" s="362">
        <v>2.93</v>
      </c>
      <c r="E20" s="348">
        <f t="shared" si="1"/>
        <v>13185000.000000002</v>
      </c>
      <c r="F20" s="363"/>
    </row>
    <row r="21" spans="1:15" s="343" customFormat="1" ht="18" customHeight="1" x14ac:dyDescent="0.25">
      <c r="A21" s="354">
        <v>2</v>
      </c>
      <c r="B21" s="355" t="s">
        <v>114</v>
      </c>
      <c r="C21" s="356"/>
      <c r="D21" s="365">
        <f>D20+D19+D18</f>
        <v>9.15</v>
      </c>
      <c r="E21" s="358">
        <f t="shared" si="1"/>
        <v>41175000</v>
      </c>
      <c r="F21" s="360"/>
    </row>
    <row r="22" spans="1:15" s="343" customFormat="1" ht="18" customHeight="1" x14ac:dyDescent="0.25">
      <c r="A22" s="344"/>
      <c r="B22" s="345" t="s">
        <v>88</v>
      </c>
      <c r="C22" s="346"/>
      <c r="D22" s="362">
        <v>3.1</v>
      </c>
      <c r="E22" s="348">
        <f t="shared" si="1"/>
        <v>13950000</v>
      </c>
      <c r="F22" s="360"/>
    </row>
    <row r="23" spans="1:15" s="343" customFormat="1" ht="18" customHeight="1" x14ac:dyDescent="0.25">
      <c r="A23" s="344"/>
      <c r="B23" s="345" t="s">
        <v>89</v>
      </c>
      <c r="C23" s="346"/>
      <c r="D23" s="362">
        <v>3.25</v>
      </c>
      <c r="E23" s="348">
        <f t="shared" si="1"/>
        <v>14625000</v>
      </c>
      <c r="F23" s="360"/>
    </row>
    <row r="24" spans="1:15" s="343" customFormat="1" ht="18" customHeight="1" x14ac:dyDescent="0.25">
      <c r="A24" s="354">
        <v>3</v>
      </c>
      <c r="B24" s="419" t="s">
        <v>113</v>
      </c>
      <c r="C24" s="420"/>
      <c r="D24" s="365">
        <f>D22+D23</f>
        <v>6.35</v>
      </c>
      <c r="E24" s="358">
        <f t="shared" si="1"/>
        <v>28575000</v>
      </c>
      <c r="F24" s="360"/>
      <c r="G24" s="343">
        <v>6.35</v>
      </c>
    </row>
    <row r="25" spans="1:15" s="343" customFormat="1" ht="18" customHeight="1" x14ac:dyDescent="0.25">
      <c r="A25" s="344"/>
      <c r="B25" s="345" t="s">
        <v>298</v>
      </c>
      <c r="C25" s="346"/>
      <c r="D25" s="362">
        <v>3.11</v>
      </c>
      <c r="E25" s="348">
        <f t="shared" si="1"/>
        <v>13995000</v>
      </c>
      <c r="F25" s="360"/>
      <c r="I25" s="366"/>
    </row>
    <row r="26" spans="1:15" s="343" customFormat="1" ht="18" customHeight="1" x14ac:dyDescent="0.25">
      <c r="A26" s="344"/>
      <c r="B26" s="345" t="s">
        <v>299</v>
      </c>
      <c r="C26" s="346"/>
      <c r="D26" s="362">
        <v>2.9039999999999999</v>
      </c>
      <c r="E26" s="348">
        <f t="shared" si="1"/>
        <v>13068000</v>
      </c>
      <c r="F26" s="360"/>
    </row>
    <row r="27" spans="1:15" s="343" customFormat="1" ht="18" customHeight="1" x14ac:dyDescent="0.25">
      <c r="A27" s="392">
        <v>4</v>
      </c>
      <c r="B27" s="421" t="s">
        <v>300</v>
      </c>
      <c r="C27" s="422"/>
      <c r="D27" s="367">
        <f>D25+D26</f>
        <v>6.0139999999999993</v>
      </c>
      <c r="E27" s="358">
        <f t="shared" si="1"/>
        <v>27062999.999999996</v>
      </c>
      <c r="F27" s="360"/>
    </row>
    <row r="28" spans="1:15" s="343" customFormat="1" ht="18" customHeight="1" x14ac:dyDescent="0.25">
      <c r="A28" s="344"/>
      <c r="B28" s="345" t="s">
        <v>265</v>
      </c>
      <c r="C28" s="346"/>
      <c r="D28" s="362">
        <v>2.85</v>
      </c>
      <c r="E28" s="348">
        <f t="shared" si="1"/>
        <v>12825000</v>
      </c>
      <c r="F28" s="368"/>
    </row>
    <row r="29" spans="1:15" s="343" customFormat="1" ht="18" customHeight="1" x14ac:dyDescent="0.25">
      <c r="A29" s="344"/>
      <c r="B29" s="345" t="s">
        <v>266</v>
      </c>
      <c r="C29" s="346"/>
      <c r="D29" s="362">
        <v>2.8</v>
      </c>
      <c r="E29" s="348">
        <f t="shared" si="1"/>
        <v>12599999.999999998</v>
      </c>
      <c r="F29" s="368"/>
    </row>
    <row r="30" spans="1:15" s="343" customFormat="1" ht="18" customHeight="1" x14ac:dyDescent="0.25">
      <c r="A30" s="369">
        <v>5</v>
      </c>
      <c r="B30" s="419" t="s">
        <v>267</v>
      </c>
      <c r="C30" s="420"/>
      <c r="D30" s="365">
        <f>D28+D29</f>
        <v>5.65</v>
      </c>
      <c r="E30" s="358">
        <f t="shared" si="1"/>
        <v>25425000</v>
      </c>
      <c r="F30" s="360"/>
    </row>
    <row r="31" spans="1:15" s="343" customFormat="1" ht="18" customHeight="1" x14ac:dyDescent="0.25">
      <c r="A31" s="344">
        <v>6</v>
      </c>
      <c r="B31" s="345" t="s">
        <v>90</v>
      </c>
      <c r="C31" s="346"/>
      <c r="D31" s="362">
        <v>5.35</v>
      </c>
      <c r="E31" s="348">
        <f t="shared" si="1"/>
        <v>24075000</v>
      </c>
      <c r="F31" s="360"/>
    </row>
    <row r="32" spans="1:15" s="343" customFormat="1" ht="18" customHeight="1" x14ac:dyDescent="0.25">
      <c r="A32" s="344">
        <v>7</v>
      </c>
      <c r="B32" s="370" t="s">
        <v>93</v>
      </c>
      <c r="C32" s="371"/>
      <c r="D32" s="362">
        <v>5.2</v>
      </c>
      <c r="E32" s="348">
        <f t="shared" si="1"/>
        <v>23400000.000000004</v>
      </c>
      <c r="F32" s="368"/>
    </row>
    <row r="33" spans="1:7" s="343" customFormat="1" ht="18" customHeight="1" x14ac:dyDescent="0.25">
      <c r="A33" s="344">
        <v>8</v>
      </c>
      <c r="B33" s="345" t="s">
        <v>97</v>
      </c>
      <c r="C33" s="346"/>
      <c r="D33" s="362">
        <v>4.5999999999999996</v>
      </c>
      <c r="E33" s="348">
        <f>(D33/100)*$G$7</f>
        <v>20700000</v>
      </c>
      <c r="F33" s="360"/>
    </row>
    <row r="34" spans="1:7" s="343" customFormat="1" ht="18" customHeight="1" x14ac:dyDescent="0.25">
      <c r="A34" s="344">
        <v>9</v>
      </c>
      <c r="B34" s="345" t="s">
        <v>91</v>
      </c>
      <c r="C34" s="346"/>
      <c r="D34" s="362">
        <v>4.4859999999999998</v>
      </c>
      <c r="E34" s="348">
        <f t="shared" si="1"/>
        <v>20187000</v>
      </c>
      <c r="F34" s="360"/>
    </row>
    <row r="35" spans="1:7" s="343" customFormat="1" ht="18" customHeight="1" x14ac:dyDescent="0.25">
      <c r="A35" s="344">
        <v>10</v>
      </c>
      <c r="B35" s="372" t="s">
        <v>39</v>
      </c>
      <c r="C35" s="373"/>
      <c r="D35" s="362">
        <v>4.2</v>
      </c>
      <c r="E35" s="348">
        <f t="shared" si="1"/>
        <v>18900000</v>
      </c>
      <c r="F35" s="360"/>
    </row>
    <row r="36" spans="1:7" s="343" customFormat="1" ht="18" customHeight="1" x14ac:dyDescent="0.25">
      <c r="A36" s="344">
        <v>11</v>
      </c>
      <c r="B36" s="345" t="s">
        <v>99</v>
      </c>
      <c r="C36" s="346"/>
      <c r="D36" s="362">
        <v>3.95</v>
      </c>
      <c r="E36" s="348">
        <f t="shared" si="1"/>
        <v>17775000</v>
      </c>
      <c r="F36" s="360"/>
    </row>
    <row r="37" spans="1:7" s="343" customFormat="1" ht="18" customHeight="1" x14ac:dyDescent="0.25">
      <c r="A37" s="344">
        <v>12</v>
      </c>
      <c r="B37" s="372" t="s">
        <v>100</v>
      </c>
      <c r="C37" s="373"/>
      <c r="D37" s="362">
        <v>3.95</v>
      </c>
      <c r="E37" s="348">
        <f t="shared" si="1"/>
        <v>17775000</v>
      </c>
    </row>
    <row r="38" spans="1:7" s="343" customFormat="1" ht="18" customHeight="1" x14ac:dyDescent="0.25">
      <c r="A38" s="344">
        <v>13</v>
      </c>
      <c r="B38" s="345" t="s">
        <v>92</v>
      </c>
      <c r="C38" s="346"/>
      <c r="D38" s="362">
        <v>3.88</v>
      </c>
      <c r="E38" s="348">
        <f t="shared" si="1"/>
        <v>17460000</v>
      </c>
    </row>
    <row r="39" spans="1:7" s="343" customFormat="1" ht="18" customHeight="1" x14ac:dyDescent="0.25">
      <c r="A39" s="344">
        <v>14</v>
      </c>
      <c r="B39" s="345" t="s">
        <v>69</v>
      </c>
      <c r="C39" s="346"/>
      <c r="D39" s="362">
        <v>3.75</v>
      </c>
      <c r="E39" s="348">
        <f t="shared" si="1"/>
        <v>16875000</v>
      </c>
      <c r="F39" s="368"/>
    </row>
    <row r="40" spans="1:7" s="343" customFormat="1" ht="18" customHeight="1" x14ac:dyDescent="0.25">
      <c r="A40" s="344">
        <v>15</v>
      </c>
      <c r="B40" s="374" t="s">
        <v>152</v>
      </c>
      <c r="C40" s="371"/>
      <c r="D40" s="362">
        <v>3.3600000000000003</v>
      </c>
      <c r="E40" s="348">
        <f t="shared" si="1"/>
        <v>15120000.000000002</v>
      </c>
    </row>
    <row r="41" spans="1:7" s="343" customFormat="1" ht="18" customHeight="1" x14ac:dyDescent="0.25">
      <c r="A41" s="344">
        <v>16</v>
      </c>
      <c r="B41" s="345" t="s">
        <v>102</v>
      </c>
      <c r="C41" s="346"/>
      <c r="D41" s="362">
        <v>3.33</v>
      </c>
      <c r="E41" s="348">
        <f t="shared" si="1"/>
        <v>14985000.000000002</v>
      </c>
    </row>
    <row r="42" spans="1:7" s="343" customFormat="1" ht="18" customHeight="1" x14ac:dyDescent="0.25">
      <c r="A42" s="344">
        <v>17</v>
      </c>
      <c r="B42" s="345" t="s">
        <v>101</v>
      </c>
      <c r="C42" s="346"/>
      <c r="D42" s="362">
        <v>3.26</v>
      </c>
      <c r="E42" s="348">
        <f t="shared" si="1"/>
        <v>14669999.999999998</v>
      </c>
    </row>
    <row r="43" spans="1:7" s="343" customFormat="1" ht="18" customHeight="1" x14ac:dyDescent="0.25">
      <c r="A43" s="344">
        <v>18</v>
      </c>
      <c r="B43" s="372" t="s">
        <v>103</v>
      </c>
      <c r="C43" s="373"/>
      <c r="D43" s="375">
        <v>3.16</v>
      </c>
      <c r="E43" s="348">
        <f t="shared" si="1"/>
        <v>14220000.000000002</v>
      </c>
    </row>
    <row r="44" spans="1:7" s="343" customFormat="1" ht="18" customHeight="1" x14ac:dyDescent="0.25">
      <c r="A44" s="344">
        <v>19</v>
      </c>
      <c r="B44" s="374" t="s">
        <v>95</v>
      </c>
      <c r="C44" s="371"/>
      <c r="D44" s="362">
        <v>3.0600000000000005</v>
      </c>
      <c r="E44" s="348">
        <f t="shared" si="1"/>
        <v>13770000.000000002</v>
      </c>
    </row>
    <row r="45" spans="1:7" s="343" customFormat="1" ht="18" customHeight="1" x14ac:dyDescent="0.25">
      <c r="A45" s="344">
        <v>20</v>
      </c>
      <c r="B45" s="345" t="s">
        <v>104</v>
      </c>
      <c r="C45" s="346"/>
      <c r="D45" s="375">
        <v>2.2999999999999998</v>
      </c>
      <c r="E45" s="348">
        <f t="shared" si="1"/>
        <v>10350000</v>
      </c>
    </row>
    <row r="46" spans="1:7" s="382" customFormat="1" ht="18" customHeight="1" x14ac:dyDescent="0.25">
      <c r="A46" s="345"/>
      <c r="B46" s="376" t="s">
        <v>263</v>
      </c>
      <c r="C46" s="377"/>
      <c r="D46" s="378">
        <f>SUM(D17,D21,D24,D27,D30,SUM(D31:D45))</f>
        <v>101</v>
      </c>
      <c r="E46" s="379">
        <f>SUM(E17,E21,E24,E27,E30,SUM(E31:E45))</f>
        <v>454500000</v>
      </c>
      <c r="F46" s="380"/>
      <c r="G46" s="381">
        <f>E46/10000000</f>
        <v>45.45</v>
      </c>
    </row>
    <row r="47" spans="1:7" ht="18" customHeight="1" x14ac:dyDescent="0.25">
      <c r="A47" s="383"/>
      <c r="B47" s="383"/>
      <c r="C47" s="383"/>
      <c r="D47" s="339"/>
      <c r="E47" s="384"/>
    </row>
    <row r="48" spans="1:7" ht="18" customHeight="1" x14ac:dyDescent="0.25">
      <c r="A48" s="383"/>
      <c r="B48" s="383"/>
      <c r="C48" s="383"/>
      <c r="D48" s="339"/>
      <c r="E48" s="384"/>
    </row>
    <row r="49" spans="1:5" x14ac:dyDescent="0.25">
      <c r="A49" s="385"/>
      <c r="B49" s="385"/>
      <c r="C49" s="385"/>
    </row>
    <row r="50" spans="1:5" x14ac:dyDescent="0.25">
      <c r="A50" s="385"/>
      <c r="B50" s="385"/>
      <c r="C50" s="385"/>
    </row>
    <row r="51" spans="1:5" ht="15" x14ac:dyDescent="0.25">
      <c r="A51" s="385"/>
      <c r="B51" s="387"/>
      <c r="E51" s="387"/>
    </row>
    <row r="52" spans="1:5" ht="26.25" customHeight="1" x14ac:dyDescent="0.25">
      <c r="A52" s="385"/>
      <c r="B52" s="387"/>
      <c r="E52" s="387"/>
    </row>
    <row r="53" spans="1:5" ht="15" x14ac:dyDescent="0.25">
      <c r="B53" s="351"/>
      <c r="E53" s="343"/>
    </row>
    <row r="54" spans="1:5" ht="15" x14ac:dyDescent="0.25">
      <c r="B54" s="387"/>
      <c r="E54" s="387"/>
    </row>
    <row r="55" spans="1:5" s="389" customFormat="1" ht="15" x14ac:dyDescent="0.25">
      <c r="B55" s="390"/>
      <c r="D55" s="391"/>
      <c r="E55" s="390"/>
    </row>
    <row r="56" spans="1:5" s="389" customFormat="1" ht="24" customHeight="1" x14ac:dyDescent="0.25">
      <c r="A56" s="388"/>
      <c r="B56" s="387"/>
      <c r="D56" s="391"/>
      <c r="E56" s="387"/>
    </row>
    <row r="57" spans="1:5" s="389" customFormat="1" x14ac:dyDescent="0.25">
      <c r="A57" s="388"/>
      <c r="B57" s="388"/>
      <c r="C57" s="388"/>
      <c r="D57" s="391"/>
    </row>
    <row r="59" spans="1:5" ht="11.25" customHeight="1" x14ac:dyDescent="0.25"/>
  </sheetData>
  <mergeCells count="5">
    <mergeCell ref="A6:E6"/>
    <mergeCell ref="B8:C8"/>
    <mergeCell ref="B24:C24"/>
    <mergeCell ref="B27:C27"/>
    <mergeCell ref="B30:C30"/>
  </mergeCells>
  <printOptions horizontalCentered="1"/>
  <pageMargins left="0.5" right="0.7" top="0.37" bottom="0.32" header="0.3" footer="0.3"/>
  <pageSetup paperSize="9" scale="87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35</vt:i4>
      </vt:variant>
    </vt:vector>
  </HeadingPairs>
  <TitlesOfParts>
    <vt:vector size="72" baseType="lpstr">
      <vt:lpstr>Product Target June'22 35.5 (2)</vt:lpstr>
      <vt:lpstr>Product Target July'22 35.5 Cr</vt:lpstr>
      <vt:lpstr>Product Target June'22 35 Cr.</vt:lpstr>
      <vt:lpstr>National Target Feb'23 (2)</vt:lpstr>
      <vt:lpstr>National Target June'23 (3)</vt:lpstr>
      <vt:lpstr>National Target June'23 (4)</vt:lpstr>
      <vt:lpstr>Dhaka Depot June'23 L</vt:lpstr>
      <vt:lpstr>National Target Dec 23 _F</vt:lpstr>
      <vt:lpstr>National Target Oct'23 </vt:lpstr>
      <vt:lpstr>National Target Sep'23 Final</vt:lpstr>
      <vt:lpstr>National Target Sep'23</vt:lpstr>
      <vt:lpstr>National Target July'23 Final</vt:lpstr>
      <vt:lpstr>National Target June'23</vt:lpstr>
      <vt:lpstr>National Target May'23</vt:lpstr>
      <vt:lpstr>National Target April'23_2</vt:lpstr>
      <vt:lpstr>National Target April'23</vt:lpstr>
      <vt:lpstr>National Target March'23_F</vt:lpstr>
      <vt:lpstr>National Target Mar'23</vt:lpstr>
      <vt:lpstr>National Target Jan'23_Signatur</vt:lpstr>
      <vt:lpstr>Dhaka Depot Feb'23_2</vt:lpstr>
      <vt:lpstr>Dhaka Depot Feb'23-1</vt:lpstr>
      <vt:lpstr>Dhaka Depot April'23</vt:lpstr>
      <vt:lpstr>Dhaka Depot Oct'23 MU</vt:lpstr>
      <vt:lpstr>Dhaka Depot Oct'23 (2)</vt:lpstr>
      <vt:lpstr>Dhaka Depot Oct'23</vt:lpstr>
      <vt:lpstr>Dhaka Depot Sep'23</vt:lpstr>
      <vt:lpstr>Sheet1</vt:lpstr>
      <vt:lpstr>Dhaka Depot June'23 New</vt:lpstr>
      <vt:lpstr>Dhaka Depot June'23.Prevous</vt:lpstr>
      <vt:lpstr>Dhaka Depot March'23</vt:lpstr>
      <vt:lpstr>Dhaka Depot</vt:lpstr>
      <vt:lpstr>National Target Jan 23_Draft</vt:lpstr>
      <vt:lpstr>National Target January 23</vt:lpstr>
      <vt:lpstr>National Target Dec'22</vt:lpstr>
      <vt:lpstr>National Target Aug'22</vt:lpstr>
      <vt:lpstr>National Target July'22</vt:lpstr>
      <vt:lpstr>Nationat Target June'22</vt:lpstr>
      <vt:lpstr>'Dhaka Depot'!Print_Area</vt:lpstr>
      <vt:lpstr>'Dhaka Depot April''23'!Print_Area</vt:lpstr>
      <vt:lpstr>'Dhaka Depot Feb''23_2'!Print_Area</vt:lpstr>
      <vt:lpstr>'Dhaka Depot Feb''23-1'!Print_Area</vt:lpstr>
      <vt:lpstr>'Dhaka Depot June''23 L'!Print_Area</vt:lpstr>
      <vt:lpstr>'Dhaka Depot June''23 New'!Print_Area</vt:lpstr>
      <vt:lpstr>'Dhaka Depot June''23.Prevous'!Print_Area</vt:lpstr>
      <vt:lpstr>'Dhaka Depot March''23'!Print_Area</vt:lpstr>
      <vt:lpstr>'Dhaka Depot Oct''23'!Print_Area</vt:lpstr>
      <vt:lpstr>'Dhaka Depot Oct''23 (2)'!Print_Area</vt:lpstr>
      <vt:lpstr>'Dhaka Depot Oct''23 MU'!Print_Area</vt:lpstr>
      <vt:lpstr>'Dhaka Depot Sep''23'!Print_Area</vt:lpstr>
      <vt:lpstr>'National Target April''23'!Print_Area</vt:lpstr>
      <vt:lpstr>'National Target April''23_2'!Print_Area</vt:lpstr>
      <vt:lpstr>'National Target Aug''22'!Print_Area</vt:lpstr>
      <vt:lpstr>'National Target Dec 23 _F'!Print_Area</vt:lpstr>
      <vt:lpstr>'National Target Dec''22'!Print_Area</vt:lpstr>
      <vt:lpstr>'National Target Feb''23 (2)'!Print_Area</vt:lpstr>
      <vt:lpstr>'National Target Jan 23_Draft'!Print_Area</vt:lpstr>
      <vt:lpstr>'National Target Jan''23_Signatur'!Print_Area</vt:lpstr>
      <vt:lpstr>'National Target January 23'!Print_Area</vt:lpstr>
      <vt:lpstr>'National Target July''22'!Print_Area</vt:lpstr>
      <vt:lpstr>'National Target July''23 Final'!Print_Area</vt:lpstr>
      <vt:lpstr>'National Target June''23'!Print_Area</vt:lpstr>
      <vt:lpstr>'National Target June''23 (3)'!Print_Area</vt:lpstr>
      <vt:lpstr>'National Target June''23 (4)'!Print_Area</vt:lpstr>
      <vt:lpstr>'National Target Mar''23'!Print_Area</vt:lpstr>
      <vt:lpstr>'National Target March''23_F'!Print_Area</vt:lpstr>
      <vt:lpstr>'National Target May''23'!Print_Area</vt:lpstr>
      <vt:lpstr>'National Target Oct''23 '!Print_Area</vt:lpstr>
      <vt:lpstr>'National Target Sep''23'!Print_Area</vt:lpstr>
      <vt:lpstr>'National Target Sep''23 Final'!Print_Area</vt:lpstr>
      <vt:lpstr>'Product Target July''22 35.5 Cr'!Print_Area</vt:lpstr>
      <vt:lpstr>'Product Target June''22 35 Cr.'!Print_Area</vt:lpstr>
      <vt:lpstr>'Product Target June''22 35.5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Mr Zaman</cp:lastModifiedBy>
  <cp:lastPrinted>2023-11-27T07:20:27Z</cp:lastPrinted>
  <dcterms:created xsi:type="dcterms:W3CDTF">1996-10-14T23:33:28Z</dcterms:created>
  <dcterms:modified xsi:type="dcterms:W3CDTF">2023-11-29T05:44:07Z</dcterms:modified>
</cp:coreProperties>
</file>