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STRUCTIONS" sheetId="1" r:id="rId3"/>
    <sheet state="visible" name="ROUND 1" sheetId="2" r:id="rId4"/>
    <sheet state="visible" name="ROUND 2" sheetId="3" r:id="rId5"/>
    <sheet state="visible" name="ROUND 3" sheetId="4" r:id="rId6"/>
    <sheet state="visible" name="ROUND 4" sheetId="5" r:id="rId7"/>
    <sheet state="visible" name="ROUND 5" sheetId="6" r:id="rId8"/>
    <sheet state="visible" name="ROUND 6" sheetId="7" r:id="rId9"/>
    <sheet state="visible" name="ROUND 7" sheetId="8" r:id="rId10"/>
    <sheet state="visible" name="ROUND 8" sheetId="9" r:id="rId11"/>
    <sheet state="visible" name="ROUND 9" sheetId="10" r:id="rId12"/>
    <sheet state="visible" name="ROUND 10" sheetId="11" r:id="rId13"/>
    <sheet state="visible" name="ROUND 11" sheetId="12" r:id="rId14"/>
  </sheets>
  <definedNames/>
  <calcPr/>
</workbook>
</file>

<file path=xl/sharedStrings.xml><?xml version="1.0" encoding="utf-8"?>
<sst xmlns="http://schemas.openxmlformats.org/spreadsheetml/2006/main" count="401" uniqueCount="104">
  <si>
    <t>INSTRUCTIONS: PLEASE READ</t>
  </si>
  <si>
    <t>ROUND 1</t>
  </si>
  <si>
    <t>ROUND 2</t>
  </si>
  <si>
    <t>Need help?  Check out this visual aid!</t>
  </si>
  <si>
    <t>Each sheet (see bottom left-ish) corresponds to one round.</t>
  </si>
  <si>
    <t>BASIS INDEPENDENT MCLEAN A</t>
  </si>
  <si>
    <t xml:space="preserve">1. Click the little arrow on the right side of each "TEAM" box and select the team that is playing.  </t>
  </si>
  <si>
    <t xml:space="preserve">2. Click the arrow inside each player's box.  A dropdown of names should show up.  </t>
  </si>
  <si>
    <t xml:space="preserve">    (usually the order the players are sitting in). Please don't type their names in.</t>
  </si>
  <si>
    <t>TU NO.</t>
  </si>
  <si>
    <t xml:space="preserve">3. Once a bonus is entered, the row will turn dark (to help prevent you from double-entering any questions).  </t>
  </si>
  <si>
    <t xml:space="preserve">     If a question goes dead, put a "0" in one of the bonus columns so you won't accidentally put the next tossup in the wrong row.</t>
  </si>
  <si>
    <t>LONGFELLOW B</t>
  </si>
  <si>
    <t>4. There are two ways to input points.  You can type the point values into each cell, or you can click the small arrow inside</t>
  </si>
  <si>
    <t>BURLEIGH MANOR A</t>
  </si>
  <si>
    <t xml:space="preserve">    each box and select the appropriate point value.  If you're typing, be sure to hit "enter" after you're done to save the points.</t>
  </si>
  <si>
    <t>Benoy Sen</t>
  </si>
  <si>
    <t xml:space="preserve">    To delete accidentally inputted points, click the cell once and hit "delete/backspace."  Do not click twice, do not try anything else.</t>
  </si>
  <si>
    <t>Tim Johanson</t>
  </si>
  <si>
    <t>5. IMPORTANT: If a substitution occurs, please write the FULL name of the team/players (as it appears in the dropdown menu) and the number of the tossup</t>
  </si>
  <si>
    <t>Connor McKenzie</t>
  </si>
  <si>
    <t xml:space="preserve">    they were substituted in/out at in the "Substitutions" section at the bottom of the spreadsheet.  Please use the following format:</t>
  </si>
  <si>
    <t>Keenan Powell</t>
  </si>
  <si>
    <t>Andrew Evans</t>
  </si>
  <si>
    <t>BONUS</t>
  </si>
  <si>
    <t xml:space="preserve">    [TEAM] [TU #]: [Name of player substituting out]/[Name of player substituting in]. (Ex: TJ A 10: Grant Li/Rohan Hedge). </t>
  </si>
  <si>
    <t xml:space="preserve">    If there is only one player substituting in/out, please use dashes (-) in place of the second player's name.</t>
  </si>
  <si>
    <t>T+B</t>
  </si>
  <si>
    <t xml:space="preserve">    If multiple substitutions occur, please separate them by semicolons (;). (Ex: TJ 10: Grant/Hedge; TJ 10: Ben/Julia)</t>
  </si>
  <si>
    <t>SUM</t>
  </si>
  <si>
    <t>Anurag Sodhi</t>
  </si>
  <si>
    <t>Hannah Fang</t>
  </si>
  <si>
    <t xml:space="preserve">ERRORS: </t>
  </si>
  <si>
    <t>Chris Wu</t>
  </si>
  <si>
    <t>James Bombick</t>
  </si>
  <si>
    <t>"There was a problem" pop-up: you assigned an invalid number of points (or you tried to type the team/names in)</t>
  </si>
  <si>
    <t>BON.ERR: you gave the bonus points to the wrong team (either a team with a neg or a team without tossup points)</t>
  </si>
  <si>
    <t>TEAM.ERR: you assigned tossup points to two players on the same team (assigned tossup points and neg/two negs/two tossups to one team)</t>
  </si>
  <si>
    <t>NEG.ERR: you assigned negs to two teams (only the first team which buzzes can get a neg)</t>
  </si>
  <si>
    <t>ERROR: you put two tossups worth of points into the same line</t>
  </si>
  <si>
    <t>SUB.ERR: you did not format the substitutions as stipulated above (yes, this is important)</t>
  </si>
  <si>
    <t>List of teams:</t>
  </si>
  <si>
    <t>Burleigh Manor A</t>
  </si>
  <si>
    <t>Jiaming Zhang</t>
  </si>
  <si>
    <t>Jamal Baig</t>
  </si>
  <si>
    <t>Brian Lai</t>
  </si>
  <si>
    <t>Kiran James</t>
  </si>
  <si>
    <t>Alan Hsu</t>
  </si>
  <si>
    <t>ROUND 3</t>
  </si>
  <si>
    <t>CENTENNIAL A</t>
  </si>
  <si>
    <t>CENTENNIAL LANE B</t>
  </si>
  <si>
    <t>Ben Kantsiper</t>
  </si>
  <si>
    <t>Carter Matties</t>
  </si>
  <si>
    <t>Ryan Jiang</t>
  </si>
  <si>
    <t>Nathan Ho</t>
  </si>
  <si>
    <t>Matthew Yang</t>
  </si>
  <si>
    <t>Jason Oberly</t>
  </si>
  <si>
    <t>Daniel Lei</t>
  </si>
  <si>
    <t>Thomas Diep</t>
  </si>
  <si>
    <t>-------------</t>
  </si>
  <si>
    <t>TIE BREAKER</t>
  </si>
  <si>
    <t>BONUS TOTAL</t>
  </si>
  <si>
    <t>PPB</t>
  </si>
  <si>
    <t>PPG</t>
  </si>
  <si>
    <t>FINAL SCORES</t>
  </si>
  <si>
    <t>10: Benoy Sen/Andrew Evans</t>
  </si>
  <si>
    <t>NOTES (for protests and etc.)</t>
  </si>
  <si>
    <t>ROUND 4</t>
  </si>
  <si>
    <t>10: Brian Lai/Alan Hsu</t>
  </si>
  <si>
    <t>ROUND 5</t>
  </si>
  <si>
    <t>ROUND 6</t>
  </si>
  <si>
    <t>BURLEIGH MANOR B</t>
  </si>
  <si>
    <t>RICHARD MONTGOMERY A</t>
  </si>
  <si>
    <t>Max Swann</t>
  </si>
  <si>
    <t>Claire Wang</t>
  </si>
  <si>
    <t>Oyujin Damdinsuren</t>
  </si>
  <si>
    <t>Allen Yang</t>
  </si>
  <si>
    <t>Gus C</t>
  </si>
  <si>
    <t>Aaron O.</t>
  </si>
  <si>
    <t>Corrigan P.</t>
  </si>
  <si>
    <t>10: Andrew Evans/Keenan Powell</t>
  </si>
  <si>
    <t>ROUND 7</t>
  </si>
  <si>
    <t>COOPER B</t>
  </si>
  <si>
    <t>MARSHALL</t>
  </si>
  <si>
    <t>Allison Z</t>
  </si>
  <si>
    <t>Aiden M</t>
  </si>
  <si>
    <t>Brenda L</t>
  </si>
  <si>
    <t>Bharat Kalra</t>
  </si>
  <si>
    <t>Will Tedesco</t>
  </si>
  <si>
    <t>Robert Chitic-Patapievici</t>
  </si>
  <si>
    <t>Nolan Reynolds</t>
  </si>
  <si>
    <t>ROUND 8</t>
  </si>
  <si>
    <t>ROUND 9</t>
  </si>
  <si>
    <t>MCLEAN</t>
  </si>
  <si>
    <t>Jackson Chadwick</t>
  </si>
  <si>
    <t>Sam Asimos</t>
  </si>
  <si>
    <t>Praveen Vinayak</t>
  </si>
  <si>
    <t>ROUND 10</t>
  </si>
  <si>
    <t>ROUND 11</t>
  </si>
  <si>
    <t>MONTGOMERY BLAIR A</t>
  </si>
  <si>
    <t>Albert Ho</t>
  </si>
  <si>
    <t>Leela Mehta-Harwitz</t>
  </si>
  <si>
    <t>Martin Brandenburg</t>
  </si>
  <si>
    <t>Jason Liu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</si>
</sst>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2">
    <font>
      <sz val="10.0"/>
      <color rgb="FF000000"/>
      <name val="Arial"/>
    </font>
    <font>
      <b/>
      <u/>
      <sz val="12.0"/>
      <name val="Arial"/>
    </font>
    <font>
      <b/>
      <sz val="12.0"/>
      <color rgb="FFFFFFFF"/>
    </font>
    <font>
      <name val="Arial"/>
    </font>
    <font>
      <b/>
      <sz val="14.0"/>
      <color rgb="FF000000"/>
    </font>
    <font>
      <color rgb="FF000000"/>
    </font>
    <font>
      <sz val="11.0"/>
      <name val="Arial"/>
    </font>
    <font>
      <b/>
      <sz val="12.0"/>
      <color rgb="FFFFFFFF"/>
      <name val="Arial"/>
    </font>
    <font>
      <sz val="11.0"/>
      <color rgb="FF000000"/>
      <name val="Arial"/>
    </font>
    <font/>
    <font>
      <u/>
      <sz val="11.0"/>
      <name val="Arial"/>
    </font>
    <font>
      <b/>
      <sz val="11.0"/>
      <color rgb="FF000000"/>
      <name val="Arial"/>
    </font>
    <font>
      <b/>
      <name val="Arial"/>
    </font>
    <font>
      <b/>
      <sz val="11.0"/>
      <name val="Arial"/>
    </font>
    <font>
      <b/>
      <i/>
      <sz val="11.0"/>
      <name val="Arial"/>
    </font>
    <font>
      <b/>
      <sz val="11.0"/>
      <color rgb="FFFF0000"/>
      <name val="Arial"/>
    </font>
    <font>
      <sz val="11.0"/>
      <color rgb="FFFFFFFF"/>
      <name val="Arial"/>
    </font>
    <font>
      <sz val="10.0"/>
      <color rgb="FFFFFFFF"/>
    </font>
    <font>
      <sz val="10.0"/>
      <color rgb="FFFFFFFF"/>
      <name val="Arial"/>
    </font>
    <font>
      <sz val="10.0"/>
      <color rgb="FF000000"/>
    </font>
    <font>
      <sz val="10.0"/>
      <color rgb="FFFFFFFF"/>
      <name val="Inconsolata"/>
    </font>
    <font>
      <sz val="8.0"/>
      <name val="Arial"/>
    </font>
    <font>
      <b/>
    </font>
    <font>
      <b/>
      <sz val="18.0"/>
    </font>
    <font>
      <b/>
      <sz val="36.0"/>
      <color rgb="FFFFFFFF"/>
    </font>
    <font>
      <b/>
      <sz val="24.0"/>
    </font>
    <font>
      <color rgb="FF000000"/>
      <name val="Roboto"/>
    </font>
    <font>
      <sz val="10.0"/>
      <color rgb="FF000000"/>
      <name val="Inconsolata"/>
    </font>
    <font>
      <sz val="11.0"/>
      <color rgb="FF000000"/>
      <name val="Inconsolata"/>
    </font>
    <font>
      <b/>
      <sz val="10.0"/>
      <color rgb="FF000000"/>
      <name val="Arial"/>
    </font>
    <font>
      <b/>
      <sz val="11.0"/>
    </font>
    <font>
      <sz val="8.0"/>
    </font>
  </fonts>
  <fills count="21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A61C00"/>
        <bgColor rgb="FFA61C00"/>
      </patternFill>
    </fill>
    <fill>
      <patternFill patternType="solid">
        <fgColor rgb="FF999999"/>
        <bgColor rgb="FF999999"/>
      </patternFill>
    </fill>
    <fill>
      <patternFill patternType="solid">
        <fgColor rgb="FF0B5394"/>
        <bgColor rgb="FF0B5394"/>
      </patternFill>
    </fill>
    <fill>
      <patternFill patternType="solid">
        <fgColor rgb="FFE06666"/>
        <bgColor rgb="FFE06666"/>
      </patternFill>
    </fill>
    <fill>
      <patternFill patternType="solid">
        <fgColor rgb="FFF4CCCC"/>
        <bgColor rgb="FFF4CCCC"/>
      </patternFill>
    </fill>
    <fill>
      <patternFill patternType="solid">
        <fgColor rgb="FF6AA84F"/>
        <bgColor rgb="FF6AA84F"/>
      </patternFill>
    </fill>
    <fill>
      <patternFill patternType="solid">
        <fgColor rgb="FFB6D7A8"/>
        <bgColor rgb="FFB6D7A8"/>
      </patternFill>
    </fill>
    <fill>
      <patternFill patternType="solid">
        <fgColor rgb="FF6D9EEB"/>
        <bgColor rgb="FF6D9EEB"/>
      </patternFill>
    </fill>
    <fill>
      <patternFill patternType="solid">
        <fgColor rgb="FFC9DAF8"/>
        <bgColor rgb="FFC9DAF8"/>
      </patternFill>
    </fill>
    <fill>
      <patternFill patternType="solid">
        <fgColor rgb="FFEA9999"/>
        <bgColor rgb="FFEA99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A4C2F4"/>
        <bgColor rgb="FFA4C2F4"/>
      </patternFill>
    </fill>
    <fill>
      <patternFill patternType="solid">
        <fgColor rgb="FFD9EAD3"/>
        <bgColor rgb="FFD9EAD3"/>
      </patternFill>
    </fill>
    <fill>
      <patternFill patternType="solid">
        <fgColor rgb="FFB7B7B7"/>
        <bgColor rgb="FFB7B7B7"/>
      </patternFill>
    </fill>
    <fill>
      <patternFill patternType="solid">
        <fgColor rgb="FFF3F3F3"/>
        <bgColor rgb="FFF3F3F3"/>
      </patternFill>
    </fill>
    <fill>
      <patternFill patternType="solid">
        <fgColor rgb="FF3D85C6"/>
        <bgColor rgb="FF3D85C6"/>
      </patternFill>
    </fill>
    <fill>
      <patternFill patternType="solid">
        <fgColor rgb="FFCFE2F3"/>
        <bgColor rgb="FFCFE2F3"/>
      </patternFill>
    </fill>
  </fills>
  <borders count="17">
    <border/>
    <border>
      <right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6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shrinkToFit="0" vertical="bottom" wrapText="0"/>
    </xf>
    <xf borderId="0" fillId="2" fontId="2" numFmtId="0" xfId="0" applyAlignment="1" applyFill="1" applyFont="1">
      <alignment readingOrder="0"/>
    </xf>
    <xf borderId="1" fillId="0" fontId="3" numFmtId="0" xfId="0" applyAlignment="1" applyBorder="1" applyFont="1">
      <alignment vertical="bottom"/>
    </xf>
    <xf borderId="0" fillId="0" fontId="3" numFmtId="0" xfId="0" applyAlignment="1" applyFont="1">
      <alignment vertical="bottom"/>
    </xf>
    <xf borderId="0" fillId="2" fontId="4" numFmtId="0" xfId="0" applyAlignment="1" applyFont="1">
      <alignment horizontal="center" readingOrder="0"/>
    </xf>
    <xf borderId="1" fillId="0" fontId="3" numFmtId="0" xfId="0" applyAlignment="1" applyBorder="1" applyFont="1">
      <alignment shrinkToFit="0" vertical="bottom" wrapText="0"/>
    </xf>
    <xf borderId="0" fillId="0" fontId="5" numFmtId="0" xfId="0" applyFont="1"/>
    <xf borderId="1" fillId="0" fontId="6" numFmtId="0" xfId="0" applyAlignment="1" applyBorder="1" applyFont="1">
      <alignment shrinkToFit="0" vertical="bottom" wrapText="0"/>
    </xf>
    <xf borderId="2" fillId="3" fontId="7" numFmtId="0" xfId="0" applyAlignment="1" applyBorder="1" applyFill="1" applyFont="1">
      <alignment vertical="bottom"/>
    </xf>
    <xf borderId="1" fillId="2" fontId="8" numFmtId="0" xfId="0" applyAlignment="1" applyBorder="1" applyFont="1">
      <alignment shrinkToFit="0" vertical="bottom" wrapText="0"/>
    </xf>
    <xf borderId="3" fillId="0" fontId="9" numFmtId="0" xfId="0" applyBorder="1" applyFont="1"/>
    <xf borderId="4" fillId="0" fontId="9" numFmtId="0" xfId="0" applyBorder="1" applyFont="1"/>
    <xf borderId="1" fillId="0" fontId="10" numFmtId="0" xfId="0" applyAlignment="1" applyBorder="1" applyFont="1">
      <alignment shrinkToFit="0" vertical="bottom" wrapText="0"/>
    </xf>
    <xf borderId="1" fillId="2" fontId="11" numFmtId="0" xfId="0" applyAlignment="1" applyBorder="1" applyFont="1">
      <alignment shrinkToFit="0" vertical="bottom" wrapText="0"/>
    </xf>
    <xf borderId="5" fillId="4" fontId="12" numFmtId="0" xfId="0" applyAlignment="1" applyBorder="1" applyFill="1" applyFont="1">
      <alignment horizontal="center" vertical="bottom"/>
    </xf>
    <xf borderId="1" fillId="0" fontId="6" numFmtId="0" xfId="0" applyAlignment="1" applyBorder="1" applyFont="1">
      <alignment shrinkToFit="0" vertical="bottom" wrapText="0"/>
    </xf>
    <xf borderId="3" fillId="5" fontId="7" numFmtId="0" xfId="0" applyAlignment="1" applyBorder="1" applyFill="1" applyFont="1">
      <alignment vertical="bottom"/>
    </xf>
    <xf borderId="6" fillId="6" fontId="13" numFmtId="0" xfId="0" applyAlignment="1" applyBorder="1" applyFill="1" applyFont="1">
      <alignment vertical="bottom"/>
    </xf>
    <xf borderId="1" fillId="0" fontId="13" numFmtId="0" xfId="0" applyAlignment="1" applyBorder="1" applyFont="1">
      <alignment shrinkToFit="0" vertical="bottom" wrapText="0"/>
    </xf>
    <xf borderId="7" fillId="7" fontId="13" numFmtId="0" xfId="0" applyAlignment="1" applyBorder="1" applyFill="1" applyFont="1">
      <alignment vertical="bottom"/>
    </xf>
    <xf borderId="1" fillId="0" fontId="14" numFmtId="0" xfId="0" applyAlignment="1" applyBorder="1" applyFont="1">
      <alignment shrinkToFit="0" vertical="bottom" wrapText="0"/>
    </xf>
    <xf borderId="7" fillId="6" fontId="13" numFmtId="0" xfId="0" applyAlignment="1" applyBorder="1" applyFont="1">
      <alignment vertical="bottom"/>
    </xf>
    <xf borderId="7" fillId="8" fontId="13" numFmtId="0" xfId="0" applyAlignment="1" applyBorder="1" applyFill="1" applyFont="1">
      <alignment horizontal="center" vertical="bottom"/>
    </xf>
    <xf borderId="7" fillId="9" fontId="13" numFmtId="0" xfId="0" applyAlignment="1" applyBorder="1" applyFill="1" applyFont="1">
      <alignment horizontal="center" vertical="bottom"/>
    </xf>
    <xf borderId="5" fillId="0" fontId="9" numFmtId="0" xfId="0" applyBorder="1" applyFont="1"/>
    <xf borderId="7" fillId="10" fontId="13" numFmtId="0" xfId="0" applyAlignment="1" applyBorder="1" applyFill="1" applyFont="1">
      <alignment vertical="bottom"/>
    </xf>
    <xf borderId="0" fillId="0" fontId="3" numFmtId="0" xfId="0" applyAlignment="1" applyFont="1">
      <alignment vertical="bottom"/>
    </xf>
    <xf borderId="7" fillId="11" fontId="13" numFmtId="0" xfId="0" applyAlignment="1" applyBorder="1" applyFill="1" applyFont="1">
      <alignment vertical="bottom"/>
    </xf>
    <xf borderId="1" fillId="0" fontId="6" numFmtId="0" xfId="0" applyAlignment="1" applyBorder="1" applyFont="1">
      <alignment vertical="bottom"/>
    </xf>
    <xf borderId="7" fillId="11" fontId="3" numFmtId="0" xfId="0" applyAlignment="1" applyBorder="1" applyFont="1">
      <alignment vertical="bottom"/>
    </xf>
    <xf borderId="6" fillId="4" fontId="3" numFmtId="0" xfId="0" applyAlignment="1" applyBorder="1" applyFont="1">
      <alignment vertical="bottom"/>
    </xf>
    <xf borderId="7" fillId="4" fontId="3" numFmtId="0" xfId="0" applyAlignment="1" applyBorder="1" applyFont="1">
      <alignment vertical="bottom"/>
    </xf>
    <xf borderId="1" fillId="0" fontId="6" numFmtId="0" xfId="0" applyAlignment="1" applyBorder="1" applyFont="1">
      <alignment shrinkToFit="0" vertical="bottom" wrapText="0"/>
    </xf>
    <xf borderId="1" fillId="0" fontId="15" numFmtId="0" xfId="0" applyAlignment="1" applyBorder="1" applyFont="1">
      <alignment shrinkToFit="0" vertical="bottom" wrapText="0"/>
    </xf>
    <xf borderId="0" fillId="0" fontId="6" numFmtId="0" xfId="0" applyAlignment="1" applyFont="1">
      <alignment vertical="bottom"/>
    </xf>
    <xf borderId="0" fillId="0" fontId="16" numFmtId="0" xfId="0" applyAlignment="1" applyFont="1">
      <alignment vertical="bottom"/>
    </xf>
    <xf borderId="7" fillId="4" fontId="3" numFmtId="0" xfId="0" applyAlignment="1" applyBorder="1" applyFont="1">
      <alignment horizontal="right" vertical="bottom"/>
    </xf>
    <xf borderId="7" fillId="4" fontId="3" numFmtId="0" xfId="0" applyAlignment="1" applyBorder="1" applyFont="1">
      <alignment horizontal="right" vertical="bottom"/>
    </xf>
    <xf borderId="7" fillId="4" fontId="12" numFmtId="0" xfId="0" applyAlignment="1" applyBorder="1" applyFont="1">
      <alignment horizontal="center" vertical="bottom"/>
    </xf>
    <xf borderId="0" fillId="2" fontId="17" numFmtId="0" xfId="0" applyFont="1"/>
    <xf borderId="0" fillId="2" fontId="18" numFmtId="0" xfId="0" applyFont="1"/>
    <xf borderId="7" fillId="4" fontId="3" numFmtId="0" xfId="0" applyAlignment="1" applyBorder="1" applyFont="1">
      <alignment vertical="bottom"/>
    </xf>
    <xf borderId="6" fillId="4" fontId="3" numFmtId="0" xfId="0" applyAlignment="1" applyBorder="1" applyFont="1">
      <alignment horizontal="right" vertical="bottom"/>
    </xf>
    <xf borderId="6" fillId="4" fontId="3" numFmtId="0" xfId="0" applyAlignment="1" applyBorder="1" applyFont="1">
      <alignment vertical="bottom"/>
    </xf>
    <xf borderId="6" fillId="4" fontId="3" numFmtId="0" xfId="0" applyAlignment="1" applyBorder="1" applyFont="1">
      <alignment horizontal="right" vertical="bottom"/>
    </xf>
    <xf borderId="0" fillId="2" fontId="19" numFmtId="0" xfId="0" applyFont="1"/>
    <xf borderId="0" fillId="2" fontId="17" numFmtId="0" xfId="0" applyAlignment="1" applyFont="1">
      <alignment readingOrder="0"/>
    </xf>
    <xf borderId="6" fillId="12" fontId="3" numFmtId="0" xfId="0" applyAlignment="1" applyBorder="1" applyFill="1" applyFont="1">
      <alignment vertical="bottom"/>
    </xf>
    <xf borderId="7" fillId="13" fontId="3" numFmtId="0" xfId="0" applyAlignment="1" applyBorder="1" applyFill="1" applyFont="1">
      <alignment vertical="bottom"/>
    </xf>
    <xf borderId="7" fillId="12" fontId="3" numFmtId="0" xfId="0" applyAlignment="1" applyBorder="1" applyFont="1">
      <alignment vertical="bottom"/>
    </xf>
    <xf borderId="7" fillId="9" fontId="3" numFmtId="0" xfId="0" applyAlignment="1" applyBorder="1" applyFont="1">
      <alignment vertical="bottom"/>
    </xf>
    <xf borderId="7" fillId="13" fontId="3" numFmtId="0" xfId="0" applyAlignment="1" applyBorder="1" applyFont="1">
      <alignment horizontal="right" vertical="bottom"/>
    </xf>
    <xf borderId="7" fillId="9" fontId="3" numFmtId="0" xfId="0" applyAlignment="1" applyBorder="1" applyFont="1">
      <alignment horizontal="right" vertical="bottom"/>
    </xf>
    <xf borderId="7" fillId="14" fontId="12" numFmtId="0" xfId="0" applyAlignment="1" applyBorder="1" applyFill="1" applyFont="1">
      <alignment horizontal="center" vertical="bottom"/>
    </xf>
    <xf borderId="7" fillId="15" fontId="3" numFmtId="0" xfId="0" applyAlignment="1" applyBorder="1" applyFill="1" applyFont="1">
      <alignment vertical="bottom"/>
    </xf>
    <xf borderId="7" fillId="15" fontId="3" numFmtId="0" xfId="0" applyAlignment="1" applyBorder="1" applyFont="1">
      <alignment vertical="bottom"/>
    </xf>
    <xf borderId="0" fillId="2" fontId="20" numFmtId="0" xfId="0" applyFont="1"/>
    <xf borderId="6" fillId="7" fontId="3" numFmtId="0" xfId="0" applyAlignment="1" applyBorder="1" applyFont="1">
      <alignment vertical="bottom"/>
    </xf>
    <xf borderId="7" fillId="2" fontId="3" numFmtId="0" xfId="0" applyAlignment="1" applyBorder="1" applyFont="1">
      <alignment vertical="bottom"/>
    </xf>
    <xf borderId="7" fillId="7" fontId="3" numFmtId="0" xfId="0" applyAlignment="1" applyBorder="1" applyFont="1">
      <alignment vertical="bottom"/>
    </xf>
    <xf borderId="7" fillId="2" fontId="3" numFmtId="0" xfId="0" applyAlignment="1" applyBorder="1" applyFont="1">
      <alignment vertical="bottom"/>
    </xf>
    <xf borderId="7" fillId="16" fontId="3" numFmtId="0" xfId="0" applyAlignment="1" applyBorder="1" applyFill="1" applyFont="1">
      <alignment vertical="bottom"/>
    </xf>
    <xf borderId="7" fillId="2" fontId="3" numFmtId="0" xfId="0" applyAlignment="1" applyBorder="1" applyFont="1">
      <alignment horizontal="right" vertical="bottom"/>
    </xf>
    <xf borderId="7" fillId="16" fontId="3" numFmtId="0" xfId="0" applyAlignment="1" applyBorder="1" applyFont="1">
      <alignment horizontal="right" vertical="bottom"/>
    </xf>
    <xf borderId="7" fillId="13" fontId="12" numFmtId="0" xfId="0" applyAlignment="1" applyBorder="1" applyFont="1">
      <alignment horizontal="center" vertical="bottom"/>
    </xf>
    <xf borderId="7" fillId="11" fontId="3" numFmtId="0" xfId="0" applyAlignment="1" applyBorder="1" applyFont="1">
      <alignment vertical="bottom"/>
    </xf>
    <xf borderId="6" fillId="7" fontId="3" numFmtId="0" xfId="0" applyAlignment="1" applyBorder="1" applyFont="1">
      <alignment vertical="bottom"/>
    </xf>
    <xf borderId="5" fillId="13" fontId="21" numFmtId="0" xfId="0" applyAlignment="1" applyBorder="1" applyFont="1">
      <alignment horizontal="center" shrinkToFit="0" vertical="bottom" wrapText="1"/>
    </xf>
    <xf borderId="7" fillId="0" fontId="9" numFmtId="0" xfId="0" applyBorder="1" applyFont="1"/>
    <xf borderId="8" fillId="17" fontId="9" numFmtId="0" xfId="0" applyAlignment="1" applyBorder="1" applyFill="1" applyFont="1">
      <alignment readingOrder="0"/>
    </xf>
    <xf borderId="9" fillId="12" fontId="9" numFmtId="0" xfId="0" applyBorder="1" applyFont="1"/>
    <xf borderId="9" fillId="13" fontId="9" numFmtId="0" xfId="0" applyBorder="1" applyFont="1"/>
    <xf borderId="8" fillId="6" fontId="22" numFmtId="0" xfId="0" applyAlignment="1" applyBorder="1" applyFont="1">
      <alignment horizontal="center" readingOrder="0" shrinkToFit="0" wrapText="1"/>
    </xf>
    <xf borderId="10" fillId="0" fontId="9" numFmtId="0" xfId="0" applyBorder="1" applyFont="1"/>
    <xf borderId="11" fillId="6" fontId="22" numFmtId="0" xfId="0" applyAlignment="1" applyBorder="1" applyFont="1">
      <alignment horizontal="center" readingOrder="0"/>
    </xf>
    <xf borderId="9" fillId="17" fontId="9" numFmtId="0" xfId="0" applyAlignment="1" applyBorder="1" applyFont="1">
      <alignment readingOrder="0"/>
    </xf>
    <xf borderId="9" fillId="15" fontId="3" numFmtId="0" xfId="0" applyBorder="1" applyFont="1"/>
    <xf borderId="9" fillId="18" fontId="3" numFmtId="0" xfId="0" applyBorder="1" applyFill="1" applyFont="1"/>
    <xf borderId="8" fillId="19" fontId="22" numFmtId="0" xfId="0" applyAlignment="1" applyBorder="1" applyFill="1" applyFont="1">
      <alignment horizontal="center" readingOrder="0" shrinkToFit="0" wrapText="1"/>
    </xf>
    <xf borderId="11" fillId="19" fontId="22" numFmtId="0" xfId="0" applyAlignment="1" applyBorder="1" applyFont="1">
      <alignment horizontal="center" readingOrder="0"/>
    </xf>
    <xf borderId="12" fillId="17" fontId="9" numFmtId="0" xfId="0" applyAlignment="1" applyBorder="1" applyFont="1">
      <alignment readingOrder="0"/>
    </xf>
    <xf borderId="0" fillId="12" fontId="8" numFmtId="0" xfId="0" applyFont="1"/>
    <xf borderId="0" fillId="13" fontId="8" numFmtId="0" xfId="0" applyFont="1"/>
    <xf borderId="12" fillId="0" fontId="9" numFmtId="0" xfId="0" applyBorder="1" applyFont="1"/>
    <xf borderId="13" fillId="0" fontId="9" numFmtId="0" xfId="0" applyBorder="1" applyFont="1"/>
    <xf borderId="0" fillId="17" fontId="9" numFmtId="0" xfId="0" applyAlignment="1" applyFont="1">
      <alignment readingOrder="0"/>
    </xf>
    <xf borderId="0" fillId="15" fontId="8" numFmtId="0" xfId="0" applyFont="1"/>
    <xf borderId="0" fillId="18" fontId="8" numFmtId="0" xfId="0" applyFont="1"/>
    <xf borderId="0" fillId="12" fontId="9" numFmtId="0" xfId="0" applyFont="1"/>
    <xf borderId="0" fillId="13" fontId="9" numFmtId="0" xfId="0" applyFont="1"/>
    <xf borderId="12" fillId="7" fontId="23" numFmtId="0" xfId="0" applyAlignment="1" applyBorder="1" applyFont="1">
      <alignment horizontal="center"/>
    </xf>
    <xf borderId="13" fillId="7" fontId="23" numFmtId="0" xfId="0" applyAlignment="1" applyBorder="1" applyFont="1">
      <alignment horizontal="center"/>
    </xf>
    <xf borderId="0" fillId="15" fontId="3" numFmtId="0" xfId="0" applyFont="1"/>
    <xf borderId="0" fillId="18" fontId="3" numFmtId="0" xfId="0" applyFont="1"/>
    <xf borderId="12" fillId="20" fontId="23" numFmtId="0" xfId="0" applyAlignment="1" applyBorder="1" applyFill="1" applyFont="1">
      <alignment horizontal="center"/>
    </xf>
    <xf borderId="13" fillId="20" fontId="23" numFmtId="0" xfId="0" applyAlignment="1" applyBorder="1" applyFont="1">
      <alignment horizontal="center"/>
    </xf>
    <xf borderId="14" fillId="17" fontId="22" numFmtId="0" xfId="0" applyAlignment="1" applyBorder="1" applyFont="1">
      <alignment horizontal="right" readingOrder="0"/>
    </xf>
    <xf borderId="15" fillId="12" fontId="22" numFmtId="0" xfId="0" applyBorder="1" applyFont="1"/>
    <xf borderId="15" fillId="13" fontId="22" numFmtId="0" xfId="0" applyBorder="1" applyFont="1"/>
    <xf borderId="14" fillId="0" fontId="9" numFmtId="0" xfId="0" applyBorder="1" applyFont="1"/>
    <xf borderId="6" fillId="0" fontId="9" numFmtId="0" xfId="0" applyBorder="1" applyFont="1"/>
    <xf borderId="15" fillId="17" fontId="22" numFmtId="0" xfId="0" applyAlignment="1" applyBorder="1" applyFont="1">
      <alignment horizontal="right" readingOrder="0"/>
    </xf>
    <xf borderId="15" fillId="15" fontId="22" numFmtId="0" xfId="0" applyBorder="1" applyFont="1"/>
    <xf borderId="12" fillId="3" fontId="24" numFmtId="0" xfId="0" applyAlignment="1" applyBorder="1" applyFont="1">
      <alignment horizontal="center"/>
    </xf>
    <xf borderId="8" fillId="0" fontId="25" numFmtId="0" xfId="0" applyAlignment="1" applyBorder="1" applyFont="1">
      <alignment horizontal="center" readingOrder="0"/>
    </xf>
    <xf borderId="9" fillId="0" fontId="9" numFmtId="0" xfId="0" applyBorder="1" applyFont="1"/>
    <xf borderId="8" fillId="5" fontId="24" numFmtId="0" xfId="0" applyAlignment="1" applyBorder="1" applyFont="1">
      <alignment horizontal="center"/>
    </xf>
    <xf borderId="7" fillId="2" fontId="3" numFmtId="0" xfId="0" applyAlignment="1" applyBorder="1" applyFont="1">
      <alignment horizontal="right" vertical="bottom"/>
    </xf>
    <xf borderId="15" fillId="0" fontId="9" numFmtId="0" xfId="0" applyBorder="1" applyFont="1"/>
    <xf borderId="0" fillId="2" fontId="26" numFmtId="0" xfId="0" applyAlignment="1" applyFont="1">
      <alignment readingOrder="0"/>
    </xf>
    <xf borderId="0" fillId="0" fontId="9" numFmtId="0" xfId="0" applyAlignment="1" applyFont="1">
      <alignment readingOrder="0"/>
    </xf>
    <xf borderId="0" fillId="2" fontId="27" numFmtId="0" xfId="0" applyFont="1"/>
    <xf borderId="0" fillId="2" fontId="28" numFmtId="0" xfId="0" applyFont="1"/>
    <xf borderId="0" fillId="2" fontId="27" numFmtId="0" xfId="0" applyAlignment="1" applyFont="1">
      <alignment readingOrder="0"/>
    </xf>
    <xf borderId="0" fillId="2" fontId="29" numFmtId="0" xfId="0" applyAlignment="1" applyFont="1">
      <alignment readingOrder="0"/>
    </xf>
    <xf borderId="0" fillId="2" fontId="8" numFmtId="0" xfId="0" applyAlignment="1" applyFont="1">
      <alignment readingOrder="0"/>
    </xf>
    <xf borderId="7" fillId="7" fontId="3" numFmtId="0" xfId="0" applyAlignment="1" applyBorder="1" applyFont="1">
      <alignment horizontal="right" vertical="bottom"/>
    </xf>
    <xf borderId="7" fillId="16" fontId="3" numFmtId="0" xfId="0" applyAlignment="1" applyBorder="1" applyFont="1">
      <alignment vertical="bottom"/>
    </xf>
    <xf borderId="2" fillId="3" fontId="2" numFmtId="0" xfId="0" applyAlignment="1" applyBorder="1" applyFont="1">
      <alignment readingOrder="0"/>
    </xf>
    <xf borderId="13" fillId="4" fontId="22" numFmtId="0" xfId="0" applyAlignment="1" applyBorder="1" applyFont="1">
      <alignment horizontal="center" readingOrder="0"/>
    </xf>
    <xf borderId="2" fillId="5" fontId="2" numFmtId="0" xfId="0" applyAlignment="1" applyBorder="1" applyFont="1">
      <alignment readingOrder="0"/>
    </xf>
    <xf borderId="16" fillId="6" fontId="13" numFmtId="0" xfId="0" applyAlignment="1" applyBorder="1" applyFont="1">
      <alignment horizontal="left" readingOrder="0" vertical="bottom"/>
    </xf>
    <xf borderId="4" fillId="7" fontId="13" numFmtId="0" xfId="0" applyAlignment="1" applyBorder="1" applyFont="1">
      <alignment horizontal="left" readingOrder="0" vertical="bottom"/>
    </xf>
    <xf borderId="4" fillId="6" fontId="13" numFmtId="0" xfId="0" applyAlignment="1" applyBorder="1" applyFont="1">
      <alignment horizontal="left" readingOrder="0" vertical="bottom"/>
    </xf>
    <xf borderId="16" fillId="8" fontId="30" numFmtId="0" xfId="0" applyAlignment="1" applyBorder="1" applyFont="1">
      <alignment horizontal="center" readingOrder="0"/>
    </xf>
    <xf borderId="16" fillId="9" fontId="30" numFmtId="0" xfId="0" applyAlignment="1" applyBorder="1" applyFont="1">
      <alignment horizontal="center" readingOrder="0"/>
    </xf>
    <xf borderId="16" fillId="10" fontId="13" numFmtId="0" xfId="0" applyAlignment="1" applyBorder="1" applyFont="1">
      <alignment horizontal="left" readingOrder="0" vertical="bottom"/>
    </xf>
    <xf borderId="4" fillId="11" fontId="13" numFmtId="0" xfId="0" applyAlignment="1" applyBorder="1" applyFont="1">
      <alignment horizontal="left" readingOrder="0" vertical="bottom"/>
    </xf>
    <xf borderId="4" fillId="10" fontId="13" numFmtId="0" xfId="0" applyAlignment="1" applyBorder="1" applyFont="1">
      <alignment horizontal="left" readingOrder="0" vertical="bottom"/>
    </xf>
    <xf borderId="4" fillId="11" fontId="12" numFmtId="0" xfId="0" applyAlignment="1" applyBorder="1" applyFont="1">
      <alignment horizontal="left" readingOrder="0" vertical="bottom"/>
    </xf>
    <xf borderId="16" fillId="7" fontId="9" numFmtId="0" xfId="0" applyAlignment="1" applyBorder="1" applyFont="1">
      <alignment readingOrder="0"/>
    </xf>
    <xf borderId="16" fillId="2" fontId="9" numFmtId="0" xfId="0" applyAlignment="1" applyBorder="1" applyFont="1">
      <alignment readingOrder="0"/>
    </xf>
    <xf borderId="16" fillId="16" fontId="9" numFmtId="0" xfId="0" applyAlignment="1" applyBorder="1" applyFont="1">
      <alignment readingOrder="0"/>
    </xf>
    <xf borderId="16" fillId="16" fontId="9" numFmtId="0" xfId="0" applyBorder="1" applyFont="1"/>
    <xf borderId="16" fillId="13" fontId="22" numFmtId="0" xfId="0" applyAlignment="1" applyBorder="1" applyFont="1">
      <alignment horizontal="center" readingOrder="0"/>
    </xf>
    <xf borderId="16" fillId="11" fontId="9" numFmtId="0" xfId="0" applyAlignment="1" applyBorder="1" applyFont="1">
      <alignment readingOrder="0"/>
    </xf>
    <xf borderId="16" fillId="2" fontId="3" numFmtId="0" xfId="0" applyAlignment="1" applyBorder="1" applyFont="1">
      <alignment readingOrder="0" vertical="bottom"/>
    </xf>
    <xf borderId="7" fillId="13" fontId="3" numFmtId="0" xfId="0" applyAlignment="1" applyBorder="1" applyFont="1">
      <alignment vertical="bottom"/>
    </xf>
    <xf borderId="7" fillId="13" fontId="3" numFmtId="0" xfId="0" applyAlignment="1" applyBorder="1" applyFont="1">
      <alignment horizontal="right" vertical="bottom"/>
    </xf>
    <xf borderId="6" fillId="2" fontId="3" numFmtId="0" xfId="0" applyAlignment="1" applyBorder="1" applyFont="1">
      <alignment readingOrder="0" vertical="bottom"/>
    </xf>
    <xf borderId="16" fillId="11" fontId="9" numFmtId="0" xfId="0" applyBorder="1" applyFont="1"/>
    <xf borderId="6" fillId="2" fontId="3" numFmtId="0" xfId="0" applyAlignment="1" applyBorder="1" applyFont="1">
      <alignment vertical="bottom"/>
    </xf>
    <xf borderId="16" fillId="2" fontId="9" numFmtId="0" xfId="0" applyBorder="1" applyFont="1"/>
    <xf borderId="16" fillId="7" fontId="9" numFmtId="0" xfId="0" applyBorder="1" applyFont="1"/>
    <xf borderId="16" fillId="12" fontId="9" numFmtId="0" xfId="0" applyAlignment="1" applyBorder="1" applyFont="1">
      <alignment readingOrder="0"/>
    </xf>
    <xf borderId="16" fillId="13" fontId="9" numFmtId="0" xfId="0" applyBorder="1" applyFont="1"/>
    <xf borderId="16" fillId="12" fontId="9" numFmtId="0" xfId="0" applyBorder="1" applyFont="1"/>
    <xf borderId="16" fillId="13" fontId="9" numFmtId="0" xfId="0" applyAlignment="1" applyBorder="1" applyFont="1">
      <alignment readingOrder="0"/>
    </xf>
    <xf borderId="16" fillId="9" fontId="9" numFmtId="0" xfId="0" applyAlignment="1" applyBorder="1" applyFont="1">
      <alignment readingOrder="0"/>
    </xf>
    <xf borderId="16" fillId="9" fontId="9" numFmtId="0" xfId="0" applyBorder="1" applyFont="1"/>
    <xf borderId="16" fillId="14" fontId="22" numFmtId="0" xfId="0" applyAlignment="1" applyBorder="1" applyFont="1">
      <alignment horizontal="center" readingOrder="0"/>
    </xf>
    <xf borderId="16" fillId="15" fontId="9" numFmtId="0" xfId="0" applyBorder="1" applyFont="1"/>
    <xf borderId="6" fillId="13" fontId="3" numFmtId="0" xfId="0" applyAlignment="1" applyBorder="1" applyFont="1">
      <alignment vertical="bottom"/>
    </xf>
    <xf borderId="16" fillId="15" fontId="9" numFmtId="0" xfId="0" applyAlignment="1" applyBorder="1" applyFont="1">
      <alignment readingOrder="0"/>
    </xf>
    <xf borderId="6" fillId="13" fontId="3" numFmtId="0" xfId="0" applyAlignment="1" applyBorder="1" applyFont="1">
      <alignment readingOrder="0" vertical="bottom"/>
    </xf>
    <xf borderId="0" fillId="0" fontId="22" numFmtId="0" xfId="0" applyAlignment="1" applyFont="1">
      <alignment readingOrder="0"/>
    </xf>
    <xf borderId="11" fillId="13" fontId="31" numFmtId="0" xfId="0" applyAlignment="1" applyBorder="1" applyFont="1">
      <alignment horizontal="center" readingOrder="0" shrinkToFit="0" wrapText="1"/>
    </xf>
    <xf borderId="6" fillId="12" fontId="3" numFmtId="0" xfId="0" applyAlignment="1" applyBorder="1" applyFont="1">
      <alignment vertical="bottom"/>
    </xf>
    <xf borderId="7" fillId="9" fontId="3" numFmtId="0" xfId="0" applyAlignment="1" applyBorder="1" applyFont="1">
      <alignment vertical="bottom"/>
    </xf>
    <xf borderId="7" fillId="11" fontId="3" numFmtId="0" xfId="0" applyAlignment="1" applyBorder="1" applyFont="1">
      <alignment horizontal="right" vertical="bottom"/>
    </xf>
  </cellXfs>
  <cellStyles count="1">
    <cellStyle xfId="0" name="Normal" builtinId="0"/>
  </cellStyles>
  <dxfs count="4">
    <dxf>
      <font/>
      <fill>
        <patternFill patternType="solid">
          <fgColor rgb="FF999999"/>
          <bgColor rgb="FF999999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>
        <b/>
        <color rgb="FFFF0000"/>
      </font>
      <fill>
        <patternFill patternType="solid">
          <fgColor rgb="FFF9FCFA"/>
          <bgColor rgb="FFF9FCFA"/>
        </patternFill>
      </fill>
      <border/>
    </dxf>
    <dxf>
      <font>
        <color rgb="FFFF0000"/>
      </font>
      <fill>
        <patternFill patternType="solid">
          <fgColor rgb="FFF9FCFA"/>
          <bgColor rgb="FFF9FCFA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worksheet" Target="worksheets/sheet1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742950</xdr:colOff>
      <xdr:row>1</xdr:row>
      <xdr:rowOff>200025</xdr:rowOff>
    </xdr:from>
    <xdr:ext cx="5172075" cy="93345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sheetData>
    <row r="1">
      <c r="A1" s="1" t="s">
        <v>0</v>
      </c>
      <c r="B1" s="3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</row>
    <row r="2">
      <c r="A2" s="4"/>
      <c r="B2" s="4"/>
      <c r="C2" s="4"/>
      <c r="D2" s="4"/>
      <c r="E2" s="4"/>
      <c r="F2" s="4"/>
      <c r="G2" s="4"/>
      <c r="H2" s="6" t="s">
        <v>3</v>
      </c>
      <c r="I2" s="3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</row>
    <row r="3">
      <c r="A3" s="8" t="s">
        <v>4</v>
      </c>
      <c r="B3" s="3"/>
      <c r="C3" s="3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</row>
    <row r="4">
      <c r="A4" s="8" t="s">
        <v>6</v>
      </c>
      <c r="B4" s="3"/>
      <c r="C4" s="3"/>
      <c r="D4" s="3"/>
      <c r="E4" s="3"/>
      <c r="F4" s="3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</row>
    <row r="5">
      <c r="A5" s="10" t="s">
        <v>7</v>
      </c>
      <c r="B5" s="3"/>
      <c r="C5" s="3"/>
      <c r="D5" s="3"/>
      <c r="E5" s="3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</row>
    <row r="6">
      <c r="A6" s="10" t="s">
        <v>8</v>
      </c>
      <c r="B6" s="3"/>
      <c r="C6" s="3"/>
      <c r="D6" s="3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</row>
    <row r="7">
      <c r="A7" s="13" t="s">
        <v>10</v>
      </c>
      <c r="B7" s="3"/>
      <c r="C7" s="3"/>
      <c r="D7" s="3"/>
      <c r="E7" s="3"/>
      <c r="F7" s="3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</row>
    <row r="8">
      <c r="A8" s="14" t="s">
        <v>11</v>
      </c>
      <c r="B8" s="3"/>
      <c r="C8" s="3"/>
      <c r="D8" s="3"/>
      <c r="E8" s="3"/>
      <c r="F8" s="3"/>
      <c r="G8" s="3"/>
      <c r="H8" s="3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</row>
    <row r="9">
      <c r="A9" s="16" t="s">
        <v>13</v>
      </c>
      <c r="B9" s="3"/>
      <c r="C9" s="3"/>
      <c r="D9" s="3"/>
      <c r="E9" s="3"/>
      <c r="F9" s="3"/>
      <c r="G9" s="3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</row>
    <row r="10">
      <c r="A10" s="10" t="s">
        <v>15</v>
      </c>
      <c r="B10" s="3"/>
      <c r="C10" s="3"/>
      <c r="D10" s="3"/>
      <c r="E10" s="3"/>
      <c r="F10" s="3"/>
      <c r="G10" s="3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</row>
    <row r="11">
      <c r="A11" s="19" t="s">
        <v>17</v>
      </c>
      <c r="B11" s="3"/>
      <c r="C11" s="3"/>
      <c r="D11" s="3"/>
      <c r="E11" s="3"/>
      <c r="F11" s="3"/>
      <c r="G11" s="3"/>
      <c r="H11" s="3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</row>
    <row r="12">
      <c r="A12" s="21" t="s">
        <v>19</v>
      </c>
      <c r="B12" s="3"/>
      <c r="C12" s="3"/>
      <c r="D12" s="3"/>
      <c r="E12" s="3"/>
      <c r="F12" s="3"/>
      <c r="G12" s="3"/>
      <c r="H12" s="3"/>
      <c r="I12" s="3"/>
      <c r="J12" s="3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</row>
    <row r="13">
      <c r="A13" s="21" t="s">
        <v>21</v>
      </c>
      <c r="B13" s="3"/>
      <c r="C13" s="3"/>
      <c r="D13" s="3"/>
      <c r="E13" s="3"/>
      <c r="F13" s="3"/>
      <c r="G13" s="3"/>
      <c r="H13" s="3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</row>
    <row r="14">
      <c r="A14" s="21" t="s">
        <v>25</v>
      </c>
      <c r="B14" s="3"/>
      <c r="C14" s="3"/>
      <c r="D14" s="3"/>
      <c r="E14" s="3"/>
      <c r="F14" s="3"/>
      <c r="G14" s="3"/>
      <c r="H14" s="3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</row>
    <row r="15">
      <c r="A15" s="19" t="s">
        <v>26</v>
      </c>
      <c r="B15" s="3"/>
      <c r="C15" s="3"/>
      <c r="D15" s="3"/>
      <c r="E15" s="3"/>
      <c r="F15" s="3"/>
      <c r="G15" s="3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</row>
    <row r="16">
      <c r="A16" s="19" t="s">
        <v>28</v>
      </c>
      <c r="B16" s="3"/>
      <c r="C16" s="3"/>
      <c r="D16" s="3"/>
      <c r="E16" s="3"/>
      <c r="F16" s="3"/>
      <c r="G16" s="3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</row>
    <row r="17">
      <c r="A17" s="27"/>
      <c r="B17" s="3"/>
      <c r="C17" s="3"/>
      <c r="D17" s="3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</row>
    <row r="18">
      <c r="A18" s="29" t="s">
        <v>32</v>
      </c>
      <c r="B18" s="3"/>
      <c r="C18" s="3"/>
      <c r="D18" s="3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</row>
    <row r="19">
      <c r="A19" s="16" t="s">
        <v>35</v>
      </c>
      <c r="B19" s="3"/>
      <c r="C19" s="3"/>
      <c r="D19" s="3"/>
      <c r="E19" s="3"/>
      <c r="F19" s="3"/>
      <c r="G19" s="3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</row>
    <row r="20">
      <c r="A20" s="16" t="s">
        <v>36</v>
      </c>
      <c r="B20" s="3"/>
      <c r="C20" s="3"/>
      <c r="D20" s="3"/>
      <c r="E20" s="3"/>
      <c r="F20" s="3"/>
      <c r="G20" s="3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</row>
    <row r="21">
      <c r="A21" s="16" t="s">
        <v>37</v>
      </c>
      <c r="B21" s="3"/>
      <c r="C21" s="3"/>
      <c r="D21" s="3"/>
      <c r="E21" s="3"/>
      <c r="F21" s="3"/>
      <c r="G21" s="3"/>
      <c r="H21" s="3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</row>
    <row r="22">
      <c r="A22" s="16" t="s">
        <v>38</v>
      </c>
      <c r="B22" s="3"/>
      <c r="C22" s="3"/>
      <c r="D22" s="3"/>
      <c r="E22" s="3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</row>
    <row r="23">
      <c r="A23" s="33" t="s">
        <v>39</v>
      </c>
      <c r="B23" s="3"/>
      <c r="C23" s="3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</row>
    <row r="24">
      <c r="A24" s="34" t="s">
        <v>40</v>
      </c>
      <c r="B24" s="3"/>
      <c r="C24" s="3"/>
      <c r="D24" s="3"/>
      <c r="E24" s="3"/>
      <c r="F24" s="3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</row>
    <row r="25">
      <c r="A25" s="35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</row>
    <row r="2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</row>
    <row r="27">
      <c r="A27" s="36" t="s">
        <v>41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</row>
    <row r="28">
      <c r="A28" s="4" t="str">
        <f>IFERROR(__xludf.DUMMYFUNCTION("IMPORTRANGE(""https://docs.google.com/spreadsheets/d/18SbYLb0IyRFPAQ4tFlI0rc2h62R0oFHmbcX9QGUnmQI/edit#gid=0"", ""Sheet1!A1:ZZ100"")"),"")</f>
        <v/>
      </c>
      <c r="B28" s="36" t="str">
        <f>IFERROR(__xludf.DUMMYFUNCTION("""COMPUTED_VALUE"""),"BASIS INDEPENDENT MCLEAN A")</f>
        <v>BASIS INDEPENDENT MCLEAN A</v>
      </c>
      <c r="C28" s="36" t="str">
        <f>IFERROR(__xludf.DUMMYFUNCTION("""COMPUTED_VALUE"""),"BASIS INDEPENDENT MCLEAN B")</f>
        <v>BASIS INDEPENDENT MCLEAN B</v>
      </c>
      <c r="D28" s="36" t="str">
        <f>IFERROR(__xludf.DUMMYFUNCTION("""COMPUTED_VALUE"""),"BASIS INDEPENDENT MCLEAN C")</f>
        <v>BASIS INDEPENDENT MCLEAN C</v>
      </c>
      <c r="E28" s="36" t="str">
        <f>IFERROR(__xludf.DUMMYFUNCTION("""COMPUTED_VALUE"""),"BURLEIGH MANOR A")</f>
        <v>BURLEIGH MANOR A</v>
      </c>
      <c r="F28" s="36" t="str">
        <f>IFERROR(__xludf.DUMMYFUNCTION("""COMPUTED_VALUE"""),"BURLEIGH MANOR B")</f>
        <v>BURLEIGH MANOR B</v>
      </c>
      <c r="G28" s="36" t="str">
        <f>IFERROR(__xludf.DUMMYFUNCTION("""COMPUTED_VALUE"""),"BURLEIGH MANOR C")</f>
        <v>BURLEIGH MANOR C</v>
      </c>
      <c r="H28" s="36" t="str">
        <f>IFERROR(__xludf.DUMMYFUNCTION("""COMPUTED_VALUE"""),"CENTENNIAL A")</f>
        <v>CENTENNIAL A</v>
      </c>
      <c r="I28" s="36" t="str">
        <f>IFERROR(__xludf.DUMMYFUNCTION("""COMPUTED_VALUE"""),"CENTENNIAL B")</f>
        <v>CENTENNIAL B</v>
      </c>
      <c r="J28" s="36" t="str">
        <f>IFERROR(__xludf.DUMMYFUNCTION("""COMPUTED_VALUE"""),"CENTENNIAL C")</f>
        <v>CENTENNIAL C</v>
      </c>
      <c r="K28" s="36" t="str">
        <f>IFERROR(__xludf.DUMMYFUNCTION("""COMPUTED_VALUE"""),"WAKEFIELD")</f>
        <v>WAKEFIELD</v>
      </c>
      <c r="L28" s="36" t="str">
        <f>IFERROR(__xludf.DUMMYFUNCTION("""COMPUTED_VALUE"""),"EDISON")</f>
        <v>EDISON</v>
      </c>
      <c r="M28" s="36" t="str">
        <f>IFERROR(__xludf.DUMMYFUNCTION("""COMPUTED_VALUE"""),"CENTENNIAL LANE A")</f>
        <v>CENTENNIAL LANE A</v>
      </c>
      <c r="N28" s="36" t="str">
        <f>IFERROR(__xludf.DUMMYFUNCTION("""COMPUTED_VALUE"""),"CENTENNIAL LANE B")</f>
        <v>CENTENNIAL LANE B</v>
      </c>
      <c r="O28" s="36" t="str">
        <f>IFERROR(__xludf.DUMMYFUNCTION("""COMPUTED_VALUE"""),"COOPER A")</f>
        <v>COOPER A</v>
      </c>
      <c r="P28" s="36" t="str">
        <f>IFERROR(__xludf.DUMMYFUNCTION("""COMPUTED_VALUE"""),"COOPER B")</f>
        <v>COOPER B</v>
      </c>
      <c r="Q28" s="36" t="str">
        <f>IFERROR(__xludf.DUMMYFUNCTION("""COMPUTED_VALUE"""),"LONGFELLOW A")</f>
        <v>LONGFELLOW A</v>
      </c>
      <c r="R28" s="36" t="str">
        <f>IFERROR(__xludf.DUMMYFUNCTION("""COMPUTED_VALUE"""),"LONGFELLOW B")</f>
        <v>LONGFELLOW B</v>
      </c>
      <c r="S28" s="36" t="str">
        <f>IFERROR(__xludf.DUMMYFUNCTION("""COMPUTED_VALUE"""),"MARSHALL")</f>
        <v>MARSHALL</v>
      </c>
      <c r="T28" s="36" t="str">
        <f>IFERROR(__xludf.DUMMYFUNCTION("""COMPUTED_VALUE"""),"MCLEAN")</f>
        <v>MCLEAN</v>
      </c>
      <c r="U28" s="36" t="str">
        <f>IFERROR(__xludf.DUMMYFUNCTION("""COMPUTED_VALUE"""),"MONTGOMERY BLAIR A")</f>
        <v>MONTGOMERY BLAIR A</v>
      </c>
      <c r="V28" s="36" t="str">
        <f>IFERROR(__xludf.DUMMYFUNCTION("""COMPUTED_VALUE"""),"MONTGOMERY BLAIR B")</f>
        <v>MONTGOMERY BLAIR B</v>
      </c>
      <c r="W28" s="36" t="str">
        <f>IFERROR(__xludf.DUMMYFUNCTION("""COMPUTED_VALUE"""),"RICHARD MONTGOMERY A")</f>
        <v>RICHARD MONTGOMERY A</v>
      </c>
      <c r="X28" s="36" t="str">
        <f>IFERROR(__xludf.DUMMYFUNCTION("""COMPUTED_VALUE"""),"RICHARD MONTGOMERY B")</f>
        <v>RICHARD MONTGOMERY B</v>
      </c>
      <c r="Y28" s="36" t="str">
        <f>IFERROR(__xludf.DUMMYFUNCTION("""COMPUTED_VALUE"""),"")</f>
        <v/>
      </c>
      <c r="Z28" s="4" t="str">
        <f>IFERROR(__xludf.DUMMYFUNCTION("""COMPUTED_VALUE"""),"")</f>
        <v/>
      </c>
      <c r="AA28" s="4" t="str">
        <f>IFERROR(__xludf.DUMMYFUNCTION("""COMPUTED_VALUE"""),"")</f>
        <v/>
      </c>
      <c r="AB28" s="4" t="str">
        <f>IFERROR(__xludf.DUMMYFUNCTION("""COMPUTED_VALUE"""),"")</f>
        <v/>
      </c>
      <c r="AC28" s="4" t="str">
        <f>IFERROR(__xludf.DUMMYFUNCTION("""COMPUTED_VALUE"""),"")</f>
        <v/>
      </c>
      <c r="AD28" s="4" t="str">
        <f>IFERROR(__xludf.DUMMYFUNCTION("""COMPUTED_VALUE"""),"")</f>
        <v/>
      </c>
      <c r="AE28" s="4" t="str">
        <f>IFERROR(__xludf.DUMMYFUNCTION("""COMPUTED_VALUE"""),"")</f>
        <v/>
      </c>
      <c r="AF28" s="4" t="str">
        <f>IFERROR(__xludf.DUMMYFUNCTION("""COMPUTED_VALUE"""),"")</f>
        <v/>
      </c>
      <c r="AG28" s="4" t="str">
        <f>IFERROR(__xludf.DUMMYFUNCTION("""COMPUTED_VALUE"""),"")</f>
        <v/>
      </c>
      <c r="AH28" s="4" t="str">
        <f>IFERROR(__xludf.DUMMYFUNCTION("""COMPUTED_VALUE"""),"")</f>
        <v/>
      </c>
      <c r="AI28" s="4" t="str">
        <f>IFERROR(__xludf.DUMMYFUNCTION("""COMPUTED_VALUE"""),"")</f>
        <v/>
      </c>
      <c r="AJ28" s="4" t="str">
        <f>IFERROR(__xludf.DUMMYFUNCTION("""COMPUTED_VALUE"""),"")</f>
        <v/>
      </c>
      <c r="AK28" s="4" t="str">
        <f>IFERROR(__xludf.DUMMYFUNCTION("""COMPUTED_VALUE"""),"")</f>
        <v/>
      </c>
      <c r="AL28" s="4" t="str">
        <f>IFERROR(__xludf.DUMMYFUNCTION("""COMPUTED_VALUE"""),"")</f>
        <v/>
      </c>
      <c r="AM28" s="4" t="str">
        <f>IFERROR(__xludf.DUMMYFUNCTION("""COMPUTED_VALUE"""),"")</f>
        <v/>
      </c>
      <c r="AN28" s="4" t="str">
        <f>IFERROR(__xludf.DUMMYFUNCTION("""COMPUTED_VALUE"""),"")</f>
        <v/>
      </c>
      <c r="AO28" s="4" t="str">
        <f>IFERROR(__xludf.DUMMYFUNCTION("""COMPUTED_VALUE"""),"")</f>
        <v/>
      </c>
      <c r="AP28" s="4" t="str">
        <f>IFERROR(__xludf.DUMMYFUNCTION("""COMPUTED_VALUE"""),"")</f>
        <v/>
      </c>
      <c r="AQ28" s="4" t="str">
        <f>IFERROR(__xludf.DUMMYFUNCTION("""COMPUTED_VALUE"""),"")</f>
        <v/>
      </c>
      <c r="AR28" s="4" t="str">
        <f>IFERROR(__xludf.DUMMYFUNCTION("""COMPUTED_VALUE"""),"")</f>
        <v/>
      </c>
      <c r="AS28" s="4" t="str">
        <f>IFERROR(__xludf.DUMMYFUNCTION("""COMPUTED_VALUE"""),"")</f>
        <v/>
      </c>
      <c r="AT28" s="4" t="str">
        <f>IFERROR(__xludf.DUMMYFUNCTION("""COMPUTED_VALUE"""),"")</f>
        <v/>
      </c>
    </row>
    <row r="29">
      <c r="A29" s="4" t="str">
        <f>IFERROR(__xludf.DUMMYFUNCTION("""COMPUTED_VALUE"""),"")</f>
        <v/>
      </c>
      <c r="B29" s="36" t="str">
        <f>IFERROR(__xludf.DUMMYFUNCTION("""COMPUTED_VALUE"""),"Jiaming Zhang")</f>
        <v>Jiaming Zhang</v>
      </c>
      <c r="C29" s="36" t="str">
        <f>IFERROR(__xludf.DUMMYFUNCTION("""COMPUTED_VALUE"""),"Mimi Yang")</f>
        <v>Mimi Yang</v>
      </c>
      <c r="D29" s="36" t="str">
        <f>IFERROR(__xludf.DUMMYFUNCTION("""COMPUTED_VALUE"""),"Liya Huang")</f>
        <v>Liya Huang</v>
      </c>
      <c r="E29" s="36" t="str">
        <f>IFERROR(__xludf.DUMMYFUNCTION("""COMPUTED_VALUE"""),"James Bombick")</f>
        <v>James Bombick</v>
      </c>
      <c r="F29" s="36" t="str">
        <f>IFERROR(__xludf.DUMMYFUNCTION("""COMPUTED_VALUE"""),"Oyujin Damdinsuren")</f>
        <v>Oyujin Damdinsuren</v>
      </c>
      <c r="G29" s="36" t="str">
        <f>IFERROR(__xludf.DUMMYFUNCTION("""COMPUTED_VALUE"""),"Ishani Ghosh")</f>
        <v>Ishani Ghosh</v>
      </c>
      <c r="H29" s="36" t="str">
        <f>IFERROR(__xludf.DUMMYFUNCTION("""COMPUTED_VALUE"""),"Nathan Ho")</f>
        <v>Nathan Ho</v>
      </c>
      <c r="I29" s="36" t="str">
        <f>IFERROR(__xludf.DUMMYFUNCTION("""COMPUTED_VALUE"""),"Brandon Du")</f>
        <v>Brandon Du</v>
      </c>
      <c r="J29" s="36" t="str">
        <f>IFERROR(__xludf.DUMMYFUNCTION("""COMPUTED_VALUE"""),"Arjun Gupta")</f>
        <v>Arjun Gupta</v>
      </c>
      <c r="K29" s="36" t="str">
        <f>IFERROR(__xludf.DUMMYFUNCTION("""COMPUTED_VALUE"""),"Eli P")</f>
        <v>Eli P</v>
      </c>
      <c r="L29" s="36" t="str">
        <f>IFERROR(__xludf.DUMMYFUNCTION("""COMPUTED_VALUE"""),"Hussain Hassan")</f>
        <v>Hussain Hassan</v>
      </c>
      <c r="M29" s="36" t="str">
        <f>IFERROR(__xludf.DUMMYFUNCTION("""COMPUTED_VALUE"""),"Brad Cao")</f>
        <v>Brad Cao</v>
      </c>
      <c r="N29" s="36" t="str">
        <f>IFERROR(__xludf.DUMMYFUNCTION("""COMPUTED_VALUE"""),"Thomas Diep")</f>
        <v>Thomas Diep</v>
      </c>
      <c r="O29" s="36" t="str">
        <f>IFERROR(__xludf.DUMMYFUNCTION("""COMPUTED_VALUE"""),"Bradley Cao")</f>
        <v>Bradley Cao</v>
      </c>
      <c r="P29" s="36" t="str">
        <f>IFERROR(__xludf.DUMMYFUNCTION("""COMPUTED_VALUE"""),"Allison Z")</f>
        <v>Allison Z</v>
      </c>
      <c r="Q29" s="36" t="str">
        <f>IFERROR(__xludf.DUMMYFUNCTION("""COMPUTED_VALUE"""),"Noah Chin")</f>
        <v>Noah Chin</v>
      </c>
      <c r="R29" s="36" t="str">
        <f>IFERROR(__xludf.DUMMYFUNCTION("""COMPUTED_VALUE"""),"Andrew Evans")</f>
        <v>Andrew Evans</v>
      </c>
      <c r="S29" s="36" t="str">
        <f>IFERROR(__xludf.DUMMYFUNCTION("""COMPUTED_VALUE"""),"Robert Chitic-Patapievici")</f>
        <v>Robert Chitic-Patapievici</v>
      </c>
      <c r="T29" s="36" t="str">
        <f>IFERROR(__xludf.DUMMYFUNCTION("""COMPUTED_VALUE"""),"Sam Asimos")</f>
        <v>Sam Asimos</v>
      </c>
      <c r="U29" s="36" t="str">
        <f>IFERROR(__xludf.DUMMYFUNCTION("""COMPUTED_VALUE"""),"Martin Brandenburg")</f>
        <v>Martin Brandenburg</v>
      </c>
      <c r="V29" s="36" t="str">
        <f>IFERROR(__xludf.DUMMYFUNCTION("""COMPUTED_VALUE"""),"Grace Hu")</f>
        <v>Grace Hu</v>
      </c>
      <c r="W29" s="36" t="str">
        <f>IFERROR(__xludf.DUMMYFUNCTION("""COMPUTED_VALUE"""),"Gus C")</f>
        <v>Gus C</v>
      </c>
      <c r="X29" s="36" t="str">
        <f>IFERROR(__xludf.DUMMYFUNCTION("""COMPUTED_VALUE"""),"Connor P")</f>
        <v>Connor P</v>
      </c>
      <c r="Y29" s="36" t="str">
        <f>IFERROR(__xludf.DUMMYFUNCTION("""COMPUTED_VALUE"""),"")</f>
        <v/>
      </c>
      <c r="Z29" s="4" t="str">
        <f>IFERROR(__xludf.DUMMYFUNCTION("""COMPUTED_VALUE"""),"")</f>
        <v/>
      </c>
      <c r="AA29" s="4" t="str">
        <f>IFERROR(__xludf.DUMMYFUNCTION("""COMPUTED_VALUE"""),"")</f>
        <v/>
      </c>
      <c r="AB29" s="4" t="str">
        <f>IFERROR(__xludf.DUMMYFUNCTION("""COMPUTED_VALUE"""),"")</f>
        <v/>
      </c>
      <c r="AC29" s="4" t="str">
        <f>IFERROR(__xludf.DUMMYFUNCTION("""COMPUTED_VALUE"""),"")</f>
        <v/>
      </c>
      <c r="AD29" s="4" t="str">
        <f>IFERROR(__xludf.DUMMYFUNCTION("""COMPUTED_VALUE"""),"")</f>
        <v/>
      </c>
      <c r="AE29" s="4" t="str">
        <f>IFERROR(__xludf.DUMMYFUNCTION("""COMPUTED_VALUE"""),"")</f>
        <v/>
      </c>
      <c r="AF29" s="4" t="str">
        <f>IFERROR(__xludf.DUMMYFUNCTION("""COMPUTED_VALUE"""),"")</f>
        <v/>
      </c>
      <c r="AG29" s="4" t="str">
        <f>IFERROR(__xludf.DUMMYFUNCTION("""COMPUTED_VALUE"""),"")</f>
        <v/>
      </c>
      <c r="AH29" s="4" t="str">
        <f>IFERROR(__xludf.DUMMYFUNCTION("""COMPUTED_VALUE"""),"")</f>
        <v/>
      </c>
      <c r="AI29" s="4" t="str">
        <f>IFERROR(__xludf.DUMMYFUNCTION("""COMPUTED_VALUE"""),"")</f>
        <v/>
      </c>
      <c r="AJ29" s="4" t="str">
        <f>IFERROR(__xludf.DUMMYFUNCTION("""COMPUTED_VALUE"""),"")</f>
        <v/>
      </c>
      <c r="AK29" s="4" t="str">
        <f>IFERROR(__xludf.DUMMYFUNCTION("""COMPUTED_VALUE"""),"")</f>
        <v/>
      </c>
      <c r="AL29" s="4" t="str">
        <f>IFERROR(__xludf.DUMMYFUNCTION("""COMPUTED_VALUE"""),"")</f>
        <v/>
      </c>
      <c r="AM29" s="4" t="str">
        <f>IFERROR(__xludf.DUMMYFUNCTION("""COMPUTED_VALUE"""),"")</f>
        <v/>
      </c>
      <c r="AN29" s="4" t="str">
        <f>IFERROR(__xludf.DUMMYFUNCTION("""COMPUTED_VALUE"""),"")</f>
        <v/>
      </c>
      <c r="AO29" s="4" t="str">
        <f>IFERROR(__xludf.DUMMYFUNCTION("""COMPUTED_VALUE"""),"")</f>
        <v/>
      </c>
      <c r="AP29" s="4" t="str">
        <f>IFERROR(__xludf.DUMMYFUNCTION("""COMPUTED_VALUE"""),"")</f>
        <v/>
      </c>
      <c r="AQ29" s="4" t="str">
        <f>IFERROR(__xludf.DUMMYFUNCTION("""COMPUTED_VALUE"""),"")</f>
        <v/>
      </c>
      <c r="AR29" s="4" t="str">
        <f>IFERROR(__xludf.DUMMYFUNCTION("""COMPUTED_VALUE"""),"")</f>
        <v/>
      </c>
      <c r="AS29" s="4" t="str">
        <f>IFERROR(__xludf.DUMMYFUNCTION("""COMPUTED_VALUE"""),"")</f>
        <v/>
      </c>
      <c r="AT29" s="4" t="str">
        <f>IFERROR(__xludf.DUMMYFUNCTION("""COMPUTED_VALUE"""),"")</f>
        <v/>
      </c>
    </row>
    <row r="30">
      <c r="A30" s="4" t="str">
        <f>IFERROR(__xludf.DUMMYFUNCTION("""COMPUTED_VALUE"""),"")</f>
        <v/>
      </c>
      <c r="B30" s="36" t="str">
        <f>IFERROR(__xludf.DUMMYFUNCTION("""COMPUTED_VALUE"""),"Brian Lai")</f>
        <v>Brian Lai</v>
      </c>
      <c r="C30" s="36" t="str">
        <f>IFERROR(__xludf.DUMMYFUNCTION("""COMPUTED_VALUE"""),"Sean Park")</f>
        <v>Sean Park</v>
      </c>
      <c r="D30" s="36" t="str">
        <f>IFERROR(__xludf.DUMMYFUNCTION("""COMPUTED_VALUE"""),"Hanwen Zhang")</f>
        <v>Hanwen Zhang</v>
      </c>
      <c r="E30" s="36" t="str">
        <f>IFERROR(__xludf.DUMMYFUNCTION("""COMPUTED_VALUE"""),"Hannah Fang")</f>
        <v>Hannah Fang</v>
      </c>
      <c r="F30" s="36" t="str">
        <f>IFERROR(__xludf.DUMMYFUNCTION("""COMPUTED_VALUE"""),"Max Swann")</f>
        <v>Max Swann</v>
      </c>
      <c r="G30" s="36" t="str">
        <f>IFERROR(__xludf.DUMMYFUNCTION("""COMPUTED_VALUE"""),"Karis Lee")</f>
        <v>Karis Lee</v>
      </c>
      <c r="H30" s="36" t="str">
        <f>IFERROR(__xludf.DUMMYFUNCTION("""COMPUTED_VALUE"""),"Ryan Jiang")</f>
        <v>Ryan Jiang</v>
      </c>
      <c r="I30" s="36" t="str">
        <f>IFERROR(__xludf.DUMMYFUNCTION("""COMPUTED_VALUE"""),"Sean May")</f>
        <v>Sean May</v>
      </c>
      <c r="J30" s="36" t="str">
        <f>IFERROR(__xludf.DUMMYFUNCTION("""COMPUTED_VALUE"""),"David Huang")</f>
        <v>David Huang</v>
      </c>
      <c r="K30" s="36" t="str">
        <f>IFERROR(__xludf.DUMMYFUNCTION("""COMPUTED_VALUE"""),"Anne F")</f>
        <v>Anne F</v>
      </c>
      <c r="L30" s="36" t="str">
        <f>IFERROR(__xludf.DUMMYFUNCTION("""COMPUTED_VALUE"""),"Gabby Mansala")</f>
        <v>Gabby Mansala</v>
      </c>
      <c r="M30" s="36" t="str">
        <f>IFERROR(__xludf.DUMMYFUNCTION("""COMPUTED_VALUE"""),"Jeremy Kantsiper")</f>
        <v>Jeremy Kantsiper</v>
      </c>
      <c r="N30" s="36" t="str">
        <f>IFERROR(__xludf.DUMMYFUNCTION("""COMPUTED_VALUE"""),"Daniel Lei")</f>
        <v>Daniel Lei</v>
      </c>
      <c r="O30" s="36" t="str">
        <f>IFERROR(__xludf.DUMMYFUNCTION("""COMPUTED_VALUE"""),"Daniel Cao")</f>
        <v>Daniel Cao</v>
      </c>
      <c r="P30" s="36" t="str">
        <f>IFERROR(__xludf.DUMMYFUNCTION("""COMPUTED_VALUE"""),"Brenda L")</f>
        <v>Brenda L</v>
      </c>
      <c r="Q30" s="36" t="str">
        <f>IFERROR(__xludf.DUMMYFUNCTION("""COMPUTED_VALUE"""),"Elliott Lee")</f>
        <v>Elliott Lee</v>
      </c>
      <c r="R30" s="36" t="str">
        <f>IFERROR(__xludf.DUMMYFUNCTION("""COMPUTED_VALUE"""),"Tim Johanson")</f>
        <v>Tim Johanson</v>
      </c>
      <c r="S30" s="36" t="str">
        <f>IFERROR(__xludf.DUMMYFUNCTION("""COMPUTED_VALUE"""),"Bharat Kalra")</f>
        <v>Bharat Kalra</v>
      </c>
      <c r="T30" s="36" t="str">
        <f>IFERROR(__xludf.DUMMYFUNCTION("""COMPUTED_VALUE"""),"Jackson Chadwick")</f>
        <v>Jackson Chadwick</v>
      </c>
      <c r="U30" s="36" t="str">
        <f>IFERROR(__xludf.DUMMYFUNCTION("""COMPUTED_VALUE"""),"Albert Ho")</f>
        <v>Albert Ho</v>
      </c>
      <c r="V30" s="36" t="str">
        <f>IFERROR(__xludf.DUMMYFUNCTION("""COMPUTED_VALUE"""),"Henry Ren")</f>
        <v>Henry Ren</v>
      </c>
      <c r="W30" s="36" t="str">
        <f>IFERROR(__xludf.DUMMYFUNCTION("""COMPUTED_VALUE"""),"Aaron O.")</f>
        <v>Aaron O.</v>
      </c>
      <c r="X30" s="36" t="str">
        <f>IFERROR(__xludf.DUMMYFUNCTION("""COMPUTED_VALUE"""),"Josh G")</f>
        <v>Josh G</v>
      </c>
      <c r="Y30" s="36" t="str">
        <f>IFERROR(__xludf.DUMMYFUNCTION("""COMPUTED_VALUE"""),"")</f>
        <v/>
      </c>
      <c r="Z30" s="4" t="str">
        <f>IFERROR(__xludf.DUMMYFUNCTION("""COMPUTED_VALUE"""),"")</f>
        <v/>
      </c>
      <c r="AA30" s="4" t="str">
        <f>IFERROR(__xludf.DUMMYFUNCTION("""COMPUTED_VALUE"""),"")</f>
        <v/>
      </c>
      <c r="AB30" s="4" t="str">
        <f>IFERROR(__xludf.DUMMYFUNCTION("""COMPUTED_VALUE"""),"")</f>
        <v/>
      </c>
      <c r="AC30" s="4" t="str">
        <f>IFERROR(__xludf.DUMMYFUNCTION("""COMPUTED_VALUE"""),"")</f>
        <v/>
      </c>
      <c r="AD30" s="4" t="str">
        <f>IFERROR(__xludf.DUMMYFUNCTION("""COMPUTED_VALUE"""),"")</f>
        <v/>
      </c>
      <c r="AE30" s="4" t="str">
        <f>IFERROR(__xludf.DUMMYFUNCTION("""COMPUTED_VALUE"""),"")</f>
        <v/>
      </c>
      <c r="AF30" s="4" t="str">
        <f>IFERROR(__xludf.DUMMYFUNCTION("""COMPUTED_VALUE"""),"")</f>
        <v/>
      </c>
      <c r="AG30" s="4" t="str">
        <f>IFERROR(__xludf.DUMMYFUNCTION("""COMPUTED_VALUE"""),"")</f>
        <v/>
      </c>
      <c r="AH30" s="4" t="str">
        <f>IFERROR(__xludf.DUMMYFUNCTION("""COMPUTED_VALUE"""),"")</f>
        <v/>
      </c>
      <c r="AI30" s="4" t="str">
        <f>IFERROR(__xludf.DUMMYFUNCTION("""COMPUTED_VALUE"""),"")</f>
        <v/>
      </c>
      <c r="AJ30" s="4" t="str">
        <f>IFERROR(__xludf.DUMMYFUNCTION("""COMPUTED_VALUE"""),"")</f>
        <v/>
      </c>
      <c r="AK30" s="4" t="str">
        <f>IFERROR(__xludf.DUMMYFUNCTION("""COMPUTED_VALUE"""),"")</f>
        <v/>
      </c>
      <c r="AL30" s="4" t="str">
        <f>IFERROR(__xludf.DUMMYFUNCTION("""COMPUTED_VALUE"""),"")</f>
        <v/>
      </c>
      <c r="AM30" s="4" t="str">
        <f>IFERROR(__xludf.DUMMYFUNCTION("""COMPUTED_VALUE"""),"")</f>
        <v/>
      </c>
      <c r="AN30" s="4" t="str">
        <f>IFERROR(__xludf.DUMMYFUNCTION("""COMPUTED_VALUE"""),"")</f>
        <v/>
      </c>
      <c r="AO30" s="4" t="str">
        <f>IFERROR(__xludf.DUMMYFUNCTION("""COMPUTED_VALUE"""),"")</f>
        <v/>
      </c>
      <c r="AP30" s="4" t="str">
        <f>IFERROR(__xludf.DUMMYFUNCTION("""COMPUTED_VALUE"""),"")</f>
        <v/>
      </c>
      <c r="AQ30" s="4" t="str">
        <f>IFERROR(__xludf.DUMMYFUNCTION("""COMPUTED_VALUE"""),"")</f>
        <v/>
      </c>
      <c r="AR30" s="4" t="str">
        <f>IFERROR(__xludf.DUMMYFUNCTION("""COMPUTED_VALUE"""),"")</f>
        <v/>
      </c>
      <c r="AS30" s="4" t="str">
        <f>IFERROR(__xludf.DUMMYFUNCTION("""COMPUTED_VALUE"""),"")</f>
        <v/>
      </c>
      <c r="AT30" s="4" t="str">
        <f>IFERROR(__xludf.DUMMYFUNCTION("""COMPUTED_VALUE"""),"")</f>
        <v/>
      </c>
    </row>
    <row r="31">
      <c r="A31" s="4" t="str">
        <f>IFERROR(__xludf.DUMMYFUNCTION("""COMPUTED_VALUE"""),"")</f>
        <v/>
      </c>
      <c r="B31" s="36" t="str">
        <f>IFERROR(__xludf.DUMMYFUNCTION("""COMPUTED_VALUE"""),"Alan Hsu")</f>
        <v>Alan Hsu</v>
      </c>
      <c r="C31" s="36" t="str">
        <f>IFERROR(__xludf.DUMMYFUNCTION("""COMPUTED_VALUE"""),"Annie Woo")</f>
        <v>Annie Woo</v>
      </c>
      <c r="D31" s="36" t="str">
        <f>IFERROR(__xludf.DUMMYFUNCTION("""COMPUTED_VALUE"""),"Andy Zhang")</f>
        <v>Andy Zhang</v>
      </c>
      <c r="E31" s="36" t="str">
        <f>IFERROR(__xludf.DUMMYFUNCTION("""COMPUTED_VALUE"""),"Anurag Sodhi")</f>
        <v>Anurag Sodhi</v>
      </c>
      <c r="F31" s="36" t="str">
        <f>IFERROR(__xludf.DUMMYFUNCTION("""COMPUTED_VALUE"""),"Claire Wang")</f>
        <v>Claire Wang</v>
      </c>
      <c r="G31" s="36" t="str">
        <f>IFERROR(__xludf.DUMMYFUNCTION("""COMPUTED_VALUE"""),"David Li")</f>
        <v>David Li</v>
      </c>
      <c r="H31" s="36" t="str">
        <f>IFERROR(__xludf.DUMMYFUNCTION("""COMPUTED_VALUE"""),"Carter Matties")</f>
        <v>Carter Matties</v>
      </c>
      <c r="I31" s="36" t="str">
        <f>IFERROR(__xludf.DUMMYFUNCTION("""COMPUTED_VALUE"""),"Charlie Lu")</f>
        <v>Charlie Lu</v>
      </c>
      <c r="J31" s="36" t="str">
        <f>IFERROR(__xludf.DUMMYFUNCTION("""COMPUTED_VALUE"""),"Adhithyaa Nair")</f>
        <v>Adhithyaa Nair</v>
      </c>
      <c r="K31" s="36" t="str">
        <f>IFERROR(__xludf.DUMMYFUNCTION("""COMPUTED_VALUE"""),"Michael F")</f>
        <v>Michael F</v>
      </c>
      <c r="L31" s="36" t="str">
        <f>IFERROR(__xludf.DUMMYFUNCTION("""COMPUTED_VALUE"""),"Haydn Routt")</f>
        <v>Haydn Routt</v>
      </c>
      <c r="M31" s="36" t="str">
        <f>IFERROR(__xludf.DUMMYFUNCTION("""COMPUTED_VALUE"""),"Owen Landle")</f>
        <v>Owen Landle</v>
      </c>
      <c r="N31" s="36" t="str">
        <f>IFERROR(__xludf.DUMMYFUNCTION("""COMPUTED_VALUE"""),"Jason Oberly")</f>
        <v>Jason Oberly</v>
      </c>
      <c r="O31" s="36" t="str">
        <f>IFERROR(__xludf.DUMMYFUNCTION("""COMPUTED_VALUE"""),"Abhi Kanaparthi")</f>
        <v>Abhi Kanaparthi</v>
      </c>
      <c r="P31" s="36" t="str">
        <f>IFERROR(__xludf.DUMMYFUNCTION("""COMPUTED_VALUE"""),"Aiden M")</f>
        <v>Aiden M</v>
      </c>
      <c r="Q31" s="36" t="str">
        <f>IFERROR(__xludf.DUMMYFUNCTION("""COMPUTED_VALUE"""),"Daniel Lian")</f>
        <v>Daniel Lian</v>
      </c>
      <c r="R31" s="36" t="str">
        <f>IFERROR(__xludf.DUMMYFUNCTION("""COMPUTED_VALUE"""),"Connor McKenzie")</f>
        <v>Connor McKenzie</v>
      </c>
      <c r="S31" s="36" t="str">
        <f>IFERROR(__xludf.DUMMYFUNCTION("""COMPUTED_VALUE"""),"Nolan Reynolds")</f>
        <v>Nolan Reynolds</v>
      </c>
      <c r="T31" s="36" t="str">
        <f>IFERROR(__xludf.DUMMYFUNCTION("""COMPUTED_VALUE"""),"Praveen Vinayak")</f>
        <v>Praveen Vinayak</v>
      </c>
      <c r="U31" s="36" t="str">
        <f>IFERROR(__xludf.DUMMYFUNCTION("""COMPUTED_VALUE"""),"Jason Liu")</f>
        <v>Jason Liu</v>
      </c>
      <c r="V31" s="36" t="str">
        <f>IFERROR(__xludf.DUMMYFUNCTION("""COMPUTED_VALUE"""),"Sujay Swain")</f>
        <v>Sujay Swain</v>
      </c>
      <c r="W31" s="36" t="str">
        <f>IFERROR(__xludf.DUMMYFUNCTION("""COMPUTED_VALUE"""),"Corrigan P.")</f>
        <v>Corrigan P.</v>
      </c>
      <c r="X31" s="36" t="str">
        <f>IFERROR(__xludf.DUMMYFUNCTION("""COMPUTED_VALUE"""),"Ubat K")</f>
        <v>Ubat K</v>
      </c>
      <c r="Y31" s="36" t="str">
        <f>IFERROR(__xludf.DUMMYFUNCTION("""COMPUTED_VALUE"""),"")</f>
        <v/>
      </c>
      <c r="Z31" s="4" t="str">
        <f>IFERROR(__xludf.DUMMYFUNCTION("""COMPUTED_VALUE"""),"")</f>
        <v/>
      </c>
      <c r="AA31" s="4" t="str">
        <f>IFERROR(__xludf.DUMMYFUNCTION("""COMPUTED_VALUE"""),"")</f>
        <v/>
      </c>
      <c r="AB31" s="4" t="str">
        <f>IFERROR(__xludf.DUMMYFUNCTION("""COMPUTED_VALUE"""),"")</f>
        <v/>
      </c>
      <c r="AC31" s="4" t="str">
        <f>IFERROR(__xludf.DUMMYFUNCTION("""COMPUTED_VALUE"""),"")</f>
        <v/>
      </c>
      <c r="AD31" s="4" t="str">
        <f>IFERROR(__xludf.DUMMYFUNCTION("""COMPUTED_VALUE"""),"")</f>
        <v/>
      </c>
      <c r="AE31" s="4" t="str">
        <f>IFERROR(__xludf.DUMMYFUNCTION("""COMPUTED_VALUE"""),"")</f>
        <v/>
      </c>
      <c r="AF31" s="4" t="str">
        <f>IFERROR(__xludf.DUMMYFUNCTION("""COMPUTED_VALUE"""),"")</f>
        <v/>
      </c>
      <c r="AG31" s="4" t="str">
        <f>IFERROR(__xludf.DUMMYFUNCTION("""COMPUTED_VALUE"""),"")</f>
        <v/>
      </c>
      <c r="AH31" s="4" t="str">
        <f>IFERROR(__xludf.DUMMYFUNCTION("""COMPUTED_VALUE"""),"")</f>
        <v/>
      </c>
      <c r="AI31" s="4" t="str">
        <f>IFERROR(__xludf.DUMMYFUNCTION("""COMPUTED_VALUE"""),"")</f>
        <v/>
      </c>
      <c r="AJ31" s="4" t="str">
        <f>IFERROR(__xludf.DUMMYFUNCTION("""COMPUTED_VALUE"""),"")</f>
        <v/>
      </c>
      <c r="AK31" s="4" t="str">
        <f>IFERROR(__xludf.DUMMYFUNCTION("""COMPUTED_VALUE"""),"")</f>
        <v/>
      </c>
      <c r="AL31" s="4" t="str">
        <f>IFERROR(__xludf.DUMMYFUNCTION("""COMPUTED_VALUE"""),"")</f>
        <v/>
      </c>
      <c r="AM31" s="4" t="str">
        <f>IFERROR(__xludf.DUMMYFUNCTION("""COMPUTED_VALUE"""),"")</f>
        <v/>
      </c>
      <c r="AN31" s="4" t="str">
        <f>IFERROR(__xludf.DUMMYFUNCTION("""COMPUTED_VALUE"""),"")</f>
        <v/>
      </c>
      <c r="AO31" s="4" t="str">
        <f>IFERROR(__xludf.DUMMYFUNCTION("""COMPUTED_VALUE"""),"")</f>
        <v/>
      </c>
      <c r="AP31" s="4" t="str">
        <f>IFERROR(__xludf.DUMMYFUNCTION("""COMPUTED_VALUE"""),"")</f>
        <v/>
      </c>
      <c r="AQ31" s="4" t="str">
        <f>IFERROR(__xludf.DUMMYFUNCTION("""COMPUTED_VALUE"""),"")</f>
        <v/>
      </c>
      <c r="AR31" s="4" t="str">
        <f>IFERROR(__xludf.DUMMYFUNCTION("""COMPUTED_VALUE"""),"")</f>
        <v/>
      </c>
      <c r="AS31" s="4" t="str">
        <f>IFERROR(__xludf.DUMMYFUNCTION("""COMPUTED_VALUE"""),"")</f>
        <v/>
      </c>
      <c r="AT31" s="4" t="str">
        <f>IFERROR(__xludf.DUMMYFUNCTION("""COMPUTED_VALUE"""),"")</f>
        <v/>
      </c>
    </row>
    <row r="32">
      <c r="A32" s="4" t="str">
        <f>IFERROR(__xludf.DUMMYFUNCTION("""COMPUTED_VALUE"""),"")</f>
        <v/>
      </c>
      <c r="B32" s="36" t="str">
        <f>IFERROR(__xludf.DUMMYFUNCTION("""COMPUTED_VALUE"""),"Kiran James")</f>
        <v>Kiran James</v>
      </c>
      <c r="C32" s="36" t="str">
        <f>IFERROR(__xludf.DUMMYFUNCTION("""COMPUTED_VALUE"""),"Charles Tai")</f>
        <v>Charles Tai</v>
      </c>
      <c r="D32" s="36" t="str">
        <f>IFERROR(__xludf.DUMMYFUNCTION("""COMPUTED_VALUE"""),"Charles Hu")</f>
        <v>Charles Hu</v>
      </c>
      <c r="E32" s="36" t="str">
        <f>IFERROR(__xludf.DUMMYFUNCTION("""COMPUTED_VALUE"""),"Chris Wu")</f>
        <v>Chris Wu</v>
      </c>
      <c r="F32" s="36" t="str">
        <f>IFERROR(__xludf.DUMMYFUNCTION("""COMPUTED_VALUE"""),"Allen Yang")</f>
        <v>Allen Yang</v>
      </c>
      <c r="G32" s="36" t="str">
        <f>IFERROR(__xludf.DUMMYFUNCTION("""COMPUTED_VALUE"""),"Aryan Vegad")</f>
        <v>Aryan Vegad</v>
      </c>
      <c r="H32" s="36" t="str">
        <f>IFERROR(__xludf.DUMMYFUNCTION("""COMPUTED_VALUE"""),"Ben Kantsiper")</f>
        <v>Ben Kantsiper</v>
      </c>
      <c r="I32" s="36" t="str">
        <f>IFERROR(__xludf.DUMMYFUNCTION("""COMPUTED_VALUE"""),"Utkarsh Tannan")</f>
        <v>Utkarsh Tannan</v>
      </c>
      <c r="J32" s="36" t="str">
        <f>IFERROR(__xludf.DUMMYFUNCTION("""COMPUTED_VALUE"""),"Julian Whang")</f>
        <v>Julian Whang</v>
      </c>
      <c r="K32" s="36" t="str">
        <f>IFERROR(__xludf.DUMMYFUNCTION("""COMPUTED_VALUE"""),"Lucy R")</f>
        <v>Lucy R</v>
      </c>
      <c r="L32" s="36" t="str">
        <f>IFERROR(__xludf.DUMMYFUNCTION("""COMPUTED_VALUE"""),"Griffin Viehmeyer")</f>
        <v>Griffin Viehmeyer</v>
      </c>
      <c r="M32" s="36" t="str">
        <f>IFERROR(__xludf.DUMMYFUNCTION("""COMPUTED_VALUE"""),"Jeremy Yang")</f>
        <v>Jeremy Yang</v>
      </c>
      <c r="N32" s="36" t="str">
        <f>IFERROR(__xludf.DUMMYFUNCTION("""COMPUTED_VALUE"""),"Matthew Yang")</f>
        <v>Matthew Yang</v>
      </c>
      <c r="O32" s="36" t="str">
        <f>IFERROR(__xludf.DUMMYFUNCTION("""COMPUTED_VALUE"""),"Ryan Zhang")</f>
        <v>Ryan Zhang</v>
      </c>
      <c r="P32" s="36" t="str">
        <f>IFERROR(__xludf.DUMMYFUNCTION("""COMPUTED_VALUE"""),"")</f>
        <v/>
      </c>
      <c r="Q32" s="36" t="str">
        <f>IFERROR(__xludf.DUMMYFUNCTION("""COMPUTED_VALUE"""),"Anisha Talireja")</f>
        <v>Anisha Talireja</v>
      </c>
      <c r="R32" s="36" t="str">
        <f>IFERROR(__xludf.DUMMYFUNCTION("""COMPUTED_VALUE"""),"Keenan Powell")</f>
        <v>Keenan Powell</v>
      </c>
      <c r="S32" s="36" t="str">
        <f>IFERROR(__xludf.DUMMYFUNCTION("""COMPUTED_VALUE"""),"Will Tedesco")</f>
        <v>Will Tedesco</v>
      </c>
      <c r="T32" s="36" t="str">
        <f>IFERROR(__xludf.DUMMYFUNCTION("""COMPUTED_VALUE"""),"")</f>
        <v/>
      </c>
      <c r="U32" s="36" t="str">
        <f>IFERROR(__xludf.DUMMYFUNCTION("""COMPUTED_VALUE"""),"Leela Mehta-Harwitz")</f>
        <v>Leela Mehta-Harwitz</v>
      </c>
      <c r="V32" s="36" t="str">
        <f>IFERROR(__xludf.DUMMYFUNCTION("""COMPUTED_VALUE"""),"Stephanie Yang")</f>
        <v>Stephanie Yang</v>
      </c>
      <c r="W32" s="36" t="str">
        <f>IFERROR(__xludf.DUMMYFUNCTION("""COMPUTED_VALUE"""),"")</f>
        <v/>
      </c>
      <c r="X32" s="36" t="str">
        <f>IFERROR(__xludf.DUMMYFUNCTION("""COMPUTED_VALUE"""),"")</f>
        <v/>
      </c>
      <c r="Y32" s="36" t="str">
        <f>IFERROR(__xludf.DUMMYFUNCTION("""COMPUTED_VALUE"""),"")</f>
        <v/>
      </c>
      <c r="Z32" s="4" t="str">
        <f>IFERROR(__xludf.DUMMYFUNCTION("""COMPUTED_VALUE"""),"")</f>
        <v/>
      </c>
      <c r="AA32" s="4" t="str">
        <f>IFERROR(__xludf.DUMMYFUNCTION("""COMPUTED_VALUE"""),"")</f>
        <v/>
      </c>
      <c r="AB32" s="4" t="str">
        <f>IFERROR(__xludf.DUMMYFUNCTION("""COMPUTED_VALUE"""),"")</f>
        <v/>
      </c>
      <c r="AC32" s="4" t="str">
        <f>IFERROR(__xludf.DUMMYFUNCTION("""COMPUTED_VALUE"""),"")</f>
        <v/>
      </c>
      <c r="AD32" s="4" t="str">
        <f>IFERROR(__xludf.DUMMYFUNCTION("""COMPUTED_VALUE"""),"")</f>
        <v/>
      </c>
      <c r="AE32" s="4" t="str">
        <f>IFERROR(__xludf.DUMMYFUNCTION("""COMPUTED_VALUE"""),"")</f>
        <v/>
      </c>
      <c r="AF32" s="4" t="str">
        <f>IFERROR(__xludf.DUMMYFUNCTION("""COMPUTED_VALUE"""),"")</f>
        <v/>
      </c>
      <c r="AG32" s="4" t="str">
        <f>IFERROR(__xludf.DUMMYFUNCTION("""COMPUTED_VALUE"""),"")</f>
        <v/>
      </c>
      <c r="AH32" s="4" t="str">
        <f>IFERROR(__xludf.DUMMYFUNCTION("""COMPUTED_VALUE"""),"")</f>
        <v/>
      </c>
      <c r="AI32" s="4" t="str">
        <f>IFERROR(__xludf.DUMMYFUNCTION("""COMPUTED_VALUE"""),"")</f>
        <v/>
      </c>
      <c r="AJ32" s="4" t="str">
        <f>IFERROR(__xludf.DUMMYFUNCTION("""COMPUTED_VALUE"""),"")</f>
        <v/>
      </c>
      <c r="AK32" s="4" t="str">
        <f>IFERROR(__xludf.DUMMYFUNCTION("""COMPUTED_VALUE"""),"")</f>
        <v/>
      </c>
      <c r="AL32" s="4" t="str">
        <f>IFERROR(__xludf.DUMMYFUNCTION("""COMPUTED_VALUE"""),"")</f>
        <v/>
      </c>
      <c r="AM32" s="4" t="str">
        <f>IFERROR(__xludf.DUMMYFUNCTION("""COMPUTED_VALUE"""),"")</f>
        <v/>
      </c>
      <c r="AN32" s="4" t="str">
        <f>IFERROR(__xludf.DUMMYFUNCTION("""COMPUTED_VALUE"""),"")</f>
        <v/>
      </c>
      <c r="AO32" s="4" t="str">
        <f>IFERROR(__xludf.DUMMYFUNCTION("""COMPUTED_VALUE"""),"")</f>
        <v/>
      </c>
      <c r="AP32" s="4" t="str">
        <f>IFERROR(__xludf.DUMMYFUNCTION("""COMPUTED_VALUE"""),"")</f>
        <v/>
      </c>
      <c r="AQ32" s="4" t="str">
        <f>IFERROR(__xludf.DUMMYFUNCTION("""COMPUTED_VALUE"""),"")</f>
        <v/>
      </c>
      <c r="AR32" s="4" t="str">
        <f>IFERROR(__xludf.DUMMYFUNCTION("""COMPUTED_VALUE"""),"")</f>
        <v/>
      </c>
      <c r="AS32" s="4" t="str">
        <f>IFERROR(__xludf.DUMMYFUNCTION("""COMPUTED_VALUE"""),"")</f>
        <v/>
      </c>
      <c r="AT32" s="4" t="str">
        <f>IFERROR(__xludf.DUMMYFUNCTION("""COMPUTED_VALUE"""),"")</f>
        <v/>
      </c>
    </row>
    <row r="33">
      <c r="A33" s="4" t="str">
        <f>IFERROR(__xludf.DUMMYFUNCTION("""COMPUTED_VALUE"""),"")</f>
        <v/>
      </c>
      <c r="B33" s="36" t="str">
        <f>IFERROR(__xludf.DUMMYFUNCTION("""COMPUTED_VALUE"""),"Jamal Baig")</f>
        <v>Jamal Baig</v>
      </c>
      <c r="C33" s="36" t="str">
        <f>IFERROR(__xludf.DUMMYFUNCTION("""COMPUTED_VALUE"""),"Peter Li")</f>
        <v>Peter Li</v>
      </c>
      <c r="D33" s="36" t="str">
        <f>IFERROR(__xludf.DUMMYFUNCTION("""COMPUTED_VALUE"""),"")</f>
        <v/>
      </c>
      <c r="E33" s="36" t="str">
        <f>IFERROR(__xludf.DUMMYFUNCTION("""COMPUTED_VALUE"""),"")</f>
        <v/>
      </c>
      <c r="F33" s="36" t="str">
        <f>IFERROR(__xludf.DUMMYFUNCTION("""COMPUTED_VALUE"""),"")</f>
        <v/>
      </c>
      <c r="G33" s="36" t="str">
        <f>IFERROR(__xludf.DUMMYFUNCTION("""COMPUTED_VALUE"""),"")</f>
        <v/>
      </c>
      <c r="H33" s="36" t="str">
        <f>IFERROR(__xludf.DUMMYFUNCTION("""COMPUTED_VALUE"""),"")</f>
        <v/>
      </c>
      <c r="I33" s="36" t="str">
        <f>IFERROR(__xludf.DUMMYFUNCTION("""COMPUTED_VALUE"""),"")</f>
        <v/>
      </c>
      <c r="J33" s="36" t="str">
        <f>IFERROR(__xludf.DUMMYFUNCTION("""COMPUTED_VALUE"""),"")</f>
        <v/>
      </c>
      <c r="K33" s="36" t="str">
        <f>IFERROR(__xludf.DUMMYFUNCTION("""COMPUTED_VALUE"""),"Sydney C")</f>
        <v>Sydney C</v>
      </c>
      <c r="L33" s="36" t="str">
        <f>IFERROR(__xludf.DUMMYFUNCTION("""COMPUTED_VALUE"""),"Shayna Smith")</f>
        <v>Shayna Smith</v>
      </c>
      <c r="M33" s="36" t="str">
        <f>IFERROR(__xludf.DUMMYFUNCTION("""COMPUTED_VALUE"""),"")</f>
        <v/>
      </c>
      <c r="N33" s="36" t="str">
        <f>IFERROR(__xludf.DUMMYFUNCTION("""COMPUTED_VALUE"""),"")</f>
        <v/>
      </c>
      <c r="O33" s="36" t="str">
        <f>IFERROR(__xludf.DUMMYFUNCTION("""COMPUTED_VALUE"""),"")</f>
        <v/>
      </c>
      <c r="P33" s="36" t="str">
        <f>IFERROR(__xludf.DUMMYFUNCTION("""COMPUTED_VALUE"""),"")</f>
        <v/>
      </c>
      <c r="Q33" s="36" t="str">
        <f>IFERROR(__xludf.DUMMYFUNCTION("""COMPUTED_VALUE"""),"")</f>
        <v/>
      </c>
      <c r="R33" s="36" t="str">
        <f>IFERROR(__xludf.DUMMYFUNCTION("""COMPUTED_VALUE"""),"Benoy Sen")</f>
        <v>Benoy Sen</v>
      </c>
      <c r="S33" s="36" t="str">
        <f>IFERROR(__xludf.DUMMYFUNCTION("""COMPUTED_VALUE"""),"")</f>
        <v/>
      </c>
      <c r="T33" s="36" t="str">
        <f>IFERROR(__xludf.DUMMYFUNCTION("""COMPUTED_VALUE"""),"")</f>
        <v/>
      </c>
      <c r="U33" s="36" t="str">
        <f>IFERROR(__xludf.DUMMYFUNCTION("""COMPUTED_VALUE"""),"")</f>
        <v/>
      </c>
      <c r="V33" s="36" t="str">
        <f>IFERROR(__xludf.DUMMYFUNCTION("""COMPUTED_VALUE"""),"")</f>
        <v/>
      </c>
      <c r="W33" s="36" t="str">
        <f>IFERROR(__xludf.DUMMYFUNCTION("""COMPUTED_VALUE"""),"")</f>
        <v/>
      </c>
      <c r="X33" s="36" t="str">
        <f>IFERROR(__xludf.DUMMYFUNCTION("""COMPUTED_VALUE"""),"")</f>
        <v/>
      </c>
      <c r="Y33" s="36" t="str">
        <f>IFERROR(__xludf.DUMMYFUNCTION("""COMPUTED_VALUE"""),"")</f>
        <v/>
      </c>
      <c r="Z33" s="4" t="str">
        <f>IFERROR(__xludf.DUMMYFUNCTION("""COMPUTED_VALUE"""),"")</f>
        <v/>
      </c>
      <c r="AA33" s="4" t="str">
        <f>IFERROR(__xludf.DUMMYFUNCTION("""COMPUTED_VALUE"""),"")</f>
        <v/>
      </c>
      <c r="AB33" s="4" t="str">
        <f>IFERROR(__xludf.DUMMYFUNCTION("""COMPUTED_VALUE"""),"")</f>
        <v/>
      </c>
      <c r="AC33" s="4" t="str">
        <f>IFERROR(__xludf.DUMMYFUNCTION("""COMPUTED_VALUE"""),"")</f>
        <v/>
      </c>
      <c r="AD33" s="4" t="str">
        <f>IFERROR(__xludf.DUMMYFUNCTION("""COMPUTED_VALUE"""),"")</f>
        <v/>
      </c>
      <c r="AE33" s="4" t="str">
        <f>IFERROR(__xludf.DUMMYFUNCTION("""COMPUTED_VALUE"""),"")</f>
        <v/>
      </c>
      <c r="AF33" s="4" t="str">
        <f>IFERROR(__xludf.DUMMYFUNCTION("""COMPUTED_VALUE"""),"")</f>
        <v/>
      </c>
      <c r="AG33" s="4" t="str">
        <f>IFERROR(__xludf.DUMMYFUNCTION("""COMPUTED_VALUE"""),"")</f>
        <v/>
      </c>
      <c r="AH33" s="4" t="str">
        <f>IFERROR(__xludf.DUMMYFUNCTION("""COMPUTED_VALUE"""),"")</f>
        <v/>
      </c>
      <c r="AI33" s="4" t="str">
        <f>IFERROR(__xludf.DUMMYFUNCTION("""COMPUTED_VALUE"""),"")</f>
        <v/>
      </c>
      <c r="AJ33" s="4" t="str">
        <f>IFERROR(__xludf.DUMMYFUNCTION("""COMPUTED_VALUE"""),"")</f>
        <v/>
      </c>
      <c r="AK33" s="4" t="str">
        <f>IFERROR(__xludf.DUMMYFUNCTION("""COMPUTED_VALUE"""),"")</f>
        <v/>
      </c>
      <c r="AL33" s="4" t="str">
        <f>IFERROR(__xludf.DUMMYFUNCTION("""COMPUTED_VALUE"""),"")</f>
        <v/>
      </c>
      <c r="AM33" s="4" t="str">
        <f>IFERROR(__xludf.DUMMYFUNCTION("""COMPUTED_VALUE"""),"")</f>
        <v/>
      </c>
      <c r="AN33" s="4" t="str">
        <f>IFERROR(__xludf.DUMMYFUNCTION("""COMPUTED_VALUE"""),"")</f>
        <v/>
      </c>
      <c r="AO33" s="4" t="str">
        <f>IFERROR(__xludf.DUMMYFUNCTION("""COMPUTED_VALUE"""),"")</f>
        <v/>
      </c>
      <c r="AP33" s="4" t="str">
        <f>IFERROR(__xludf.DUMMYFUNCTION("""COMPUTED_VALUE"""),"")</f>
        <v/>
      </c>
      <c r="AQ33" s="4" t="str">
        <f>IFERROR(__xludf.DUMMYFUNCTION("""COMPUTED_VALUE"""),"")</f>
        <v/>
      </c>
      <c r="AR33" s="4" t="str">
        <f>IFERROR(__xludf.DUMMYFUNCTION("""COMPUTED_VALUE"""),"")</f>
        <v/>
      </c>
      <c r="AS33" s="4" t="str">
        <f>IFERROR(__xludf.DUMMYFUNCTION("""COMPUTED_VALUE"""),"")</f>
        <v/>
      </c>
      <c r="AT33" s="4" t="str">
        <f>IFERROR(__xludf.DUMMYFUNCTION("""COMPUTED_VALUE"""),"")</f>
        <v/>
      </c>
    </row>
    <row r="34">
      <c r="A34" s="4" t="str">
        <f>IFERROR(__xludf.DUMMYFUNCTION("""COMPUTED_VALUE"""),"")</f>
        <v/>
      </c>
      <c r="B34" s="36" t="str">
        <f>IFERROR(__xludf.DUMMYFUNCTION("""COMPUTED_VALUE"""),"")</f>
        <v/>
      </c>
      <c r="C34" s="36" t="str">
        <f>IFERROR(__xludf.DUMMYFUNCTION("""COMPUTED_VALUE"""),"")</f>
        <v/>
      </c>
      <c r="D34" s="36" t="str">
        <f>IFERROR(__xludf.DUMMYFUNCTION("""COMPUTED_VALUE"""),"")</f>
        <v/>
      </c>
      <c r="E34" s="36" t="str">
        <f>IFERROR(__xludf.DUMMYFUNCTION("""COMPUTED_VALUE"""),"")</f>
        <v/>
      </c>
      <c r="F34" s="36" t="str">
        <f>IFERROR(__xludf.DUMMYFUNCTION("""COMPUTED_VALUE"""),"")</f>
        <v/>
      </c>
      <c r="G34" s="36" t="str">
        <f>IFERROR(__xludf.DUMMYFUNCTION("""COMPUTED_VALUE"""),"")</f>
        <v/>
      </c>
      <c r="H34" s="36" t="str">
        <f>IFERROR(__xludf.DUMMYFUNCTION("""COMPUTED_VALUE"""),"")</f>
        <v/>
      </c>
      <c r="I34" s="36" t="str">
        <f>IFERROR(__xludf.DUMMYFUNCTION("""COMPUTED_VALUE"""),"")</f>
        <v/>
      </c>
      <c r="J34" s="36" t="str">
        <f>IFERROR(__xludf.DUMMYFUNCTION("""COMPUTED_VALUE"""),"")</f>
        <v/>
      </c>
      <c r="K34" s="36" t="str">
        <f>IFERROR(__xludf.DUMMYFUNCTION("""COMPUTED_VALUE"""),"")</f>
        <v/>
      </c>
      <c r="L34" s="36" t="str">
        <f>IFERROR(__xludf.DUMMYFUNCTION("""COMPUTED_VALUE"""),"")</f>
        <v/>
      </c>
      <c r="M34" s="36" t="str">
        <f>IFERROR(__xludf.DUMMYFUNCTION("""COMPUTED_VALUE"""),"")</f>
        <v/>
      </c>
      <c r="N34" s="36" t="str">
        <f>IFERROR(__xludf.DUMMYFUNCTION("""COMPUTED_VALUE"""),"")</f>
        <v/>
      </c>
      <c r="O34" s="36" t="str">
        <f>IFERROR(__xludf.DUMMYFUNCTION("""COMPUTED_VALUE"""),"")</f>
        <v/>
      </c>
      <c r="P34" s="36" t="str">
        <f>IFERROR(__xludf.DUMMYFUNCTION("""COMPUTED_VALUE"""),"")</f>
        <v/>
      </c>
      <c r="Q34" s="36" t="str">
        <f>IFERROR(__xludf.DUMMYFUNCTION("""COMPUTED_VALUE"""),"")</f>
        <v/>
      </c>
      <c r="R34" s="36" t="str">
        <f>IFERROR(__xludf.DUMMYFUNCTION("""COMPUTED_VALUE"""),"")</f>
        <v/>
      </c>
      <c r="S34" s="36" t="str">
        <f>IFERROR(__xludf.DUMMYFUNCTION("""COMPUTED_VALUE"""),"")</f>
        <v/>
      </c>
      <c r="T34" s="36" t="str">
        <f>IFERROR(__xludf.DUMMYFUNCTION("""COMPUTED_VALUE"""),"")</f>
        <v/>
      </c>
      <c r="U34" s="36" t="str">
        <f>IFERROR(__xludf.DUMMYFUNCTION("""COMPUTED_VALUE"""),"")</f>
        <v/>
      </c>
      <c r="V34" s="36" t="str">
        <f>IFERROR(__xludf.DUMMYFUNCTION("""COMPUTED_VALUE"""),"")</f>
        <v/>
      </c>
      <c r="W34" s="36" t="str">
        <f>IFERROR(__xludf.DUMMYFUNCTION("""COMPUTED_VALUE"""),"")</f>
        <v/>
      </c>
      <c r="X34" s="36" t="str">
        <f>IFERROR(__xludf.DUMMYFUNCTION("""COMPUTED_VALUE"""),"")</f>
        <v/>
      </c>
      <c r="Y34" s="36" t="str">
        <f>IFERROR(__xludf.DUMMYFUNCTION("""COMPUTED_VALUE"""),"")</f>
        <v/>
      </c>
      <c r="Z34" s="4" t="str">
        <f>IFERROR(__xludf.DUMMYFUNCTION("""COMPUTED_VALUE"""),"")</f>
        <v/>
      </c>
      <c r="AA34" s="4" t="str">
        <f>IFERROR(__xludf.DUMMYFUNCTION("""COMPUTED_VALUE"""),"")</f>
        <v/>
      </c>
      <c r="AB34" s="4" t="str">
        <f>IFERROR(__xludf.DUMMYFUNCTION("""COMPUTED_VALUE"""),"")</f>
        <v/>
      </c>
      <c r="AC34" s="4" t="str">
        <f>IFERROR(__xludf.DUMMYFUNCTION("""COMPUTED_VALUE"""),"")</f>
        <v/>
      </c>
      <c r="AD34" s="4" t="str">
        <f>IFERROR(__xludf.DUMMYFUNCTION("""COMPUTED_VALUE"""),"")</f>
        <v/>
      </c>
      <c r="AE34" s="4" t="str">
        <f>IFERROR(__xludf.DUMMYFUNCTION("""COMPUTED_VALUE"""),"")</f>
        <v/>
      </c>
      <c r="AF34" s="4" t="str">
        <f>IFERROR(__xludf.DUMMYFUNCTION("""COMPUTED_VALUE"""),"")</f>
        <v/>
      </c>
      <c r="AG34" s="4" t="str">
        <f>IFERROR(__xludf.DUMMYFUNCTION("""COMPUTED_VALUE"""),"")</f>
        <v/>
      </c>
      <c r="AH34" s="4" t="str">
        <f>IFERROR(__xludf.DUMMYFUNCTION("""COMPUTED_VALUE"""),"")</f>
        <v/>
      </c>
      <c r="AI34" s="4" t="str">
        <f>IFERROR(__xludf.DUMMYFUNCTION("""COMPUTED_VALUE"""),"")</f>
        <v/>
      </c>
      <c r="AJ34" s="4" t="str">
        <f>IFERROR(__xludf.DUMMYFUNCTION("""COMPUTED_VALUE"""),"")</f>
        <v/>
      </c>
      <c r="AK34" s="4" t="str">
        <f>IFERROR(__xludf.DUMMYFUNCTION("""COMPUTED_VALUE"""),"")</f>
        <v/>
      </c>
      <c r="AL34" s="4" t="str">
        <f>IFERROR(__xludf.DUMMYFUNCTION("""COMPUTED_VALUE"""),"")</f>
        <v/>
      </c>
      <c r="AM34" s="4" t="str">
        <f>IFERROR(__xludf.DUMMYFUNCTION("""COMPUTED_VALUE"""),"")</f>
        <v/>
      </c>
      <c r="AN34" s="4" t="str">
        <f>IFERROR(__xludf.DUMMYFUNCTION("""COMPUTED_VALUE"""),"")</f>
        <v/>
      </c>
      <c r="AO34" s="4" t="str">
        <f>IFERROR(__xludf.DUMMYFUNCTION("""COMPUTED_VALUE"""),"")</f>
        <v/>
      </c>
      <c r="AP34" s="4" t="str">
        <f>IFERROR(__xludf.DUMMYFUNCTION("""COMPUTED_VALUE"""),"")</f>
        <v/>
      </c>
      <c r="AQ34" s="4" t="str">
        <f>IFERROR(__xludf.DUMMYFUNCTION("""COMPUTED_VALUE"""),"")</f>
        <v/>
      </c>
      <c r="AR34" s="4" t="str">
        <f>IFERROR(__xludf.DUMMYFUNCTION("""COMPUTED_VALUE"""),"")</f>
        <v/>
      </c>
      <c r="AS34" s="4" t="str">
        <f>IFERROR(__xludf.DUMMYFUNCTION("""COMPUTED_VALUE"""),"")</f>
        <v/>
      </c>
      <c r="AT34" s="4" t="str">
        <f>IFERROR(__xludf.DUMMYFUNCTION("""COMPUTED_VALUE"""),"")</f>
        <v/>
      </c>
    </row>
    <row r="35">
      <c r="A35" s="4" t="str">
        <f>IFERROR(__xludf.DUMMYFUNCTION("""COMPUTED_VALUE"""),"")</f>
        <v/>
      </c>
      <c r="B35" s="36" t="str">
        <f>IFERROR(__xludf.DUMMYFUNCTION("""COMPUTED_VALUE"""),"")</f>
        <v/>
      </c>
      <c r="C35" s="36" t="str">
        <f>IFERROR(__xludf.DUMMYFUNCTION("""COMPUTED_VALUE"""),"")</f>
        <v/>
      </c>
      <c r="D35" s="36" t="str">
        <f>IFERROR(__xludf.DUMMYFUNCTION("""COMPUTED_VALUE"""),"")</f>
        <v/>
      </c>
      <c r="E35" s="36" t="str">
        <f>IFERROR(__xludf.DUMMYFUNCTION("""COMPUTED_VALUE"""),"")</f>
        <v/>
      </c>
      <c r="F35" s="36" t="str">
        <f>IFERROR(__xludf.DUMMYFUNCTION("""COMPUTED_VALUE"""),"")</f>
        <v/>
      </c>
      <c r="G35" s="36" t="str">
        <f>IFERROR(__xludf.DUMMYFUNCTION("""COMPUTED_VALUE"""),"")</f>
        <v/>
      </c>
      <c r="H35" s="36" t="str">
        <f>IFERROR(__xludf.DUMMYFUNCTION("""COMPUTED_VALUE"""),"")</f>
        <v/>
      </c>
      <c r="I35" s="36" t="str">
        <f>IFERROR(__xludf.DUMMYFUNCTION("""COMPUTED_VALUE"""),"")</f>
        <v/>
      </c>
      <c r="J35" s="36" t="str">
        <f>IFERROR(__xludf.DUMMYFUNCTION("""COMPUTED_VALUE"""),"")</f>
        <v/>
      </c>
      <c r="K35" s="36" t="str">
        <f>IFERROR(__xludf.DUMMYFUNCTION("""COMPUTED_VALUE"""),"")</f>
        <v/>
      </c>
      <c r="L35" s="36" t="str">
        <f>IFERROR(__xludf.DUMMYFUNCTION("""COMPUTED_VALUE"""),"")</f>
        <v/>
      </c>
      <c r="M35" s="36" t="str">
        <f>IFERROR(__xludf.DUMMYFUNCTION("""COMPUTED_VALUE"""),"")</f>
        <v/>
      </c>
      <c r="N35" s="36" t="str">
        <f>IFERROR(__xludf.DUMMYFUNCTION("""COMPUTED_VALUE"""),"")</f>
        <v/>
      </c>
      <c r="O35" s="36" t="str">
        <f>IFERROR(__xludf.DUMMYFUNCTION("""COMPUTED_VALUE"""),"")</f>
        <v/>
      </c>
      <c r="P35" s="36" t="str">
        <f>IFERROR(__xludf.DUMMYFUNCTION("""COMPUTED_VALUE"""),"")</f>
        <v/>
      </c>
      <c r="Q35" s="36" t="str">
        <f>IFERROR(__xludf.DUMMYFUNCTION("""COMPUTED_VALUE"""),"")</f>
        <v/>
      </c>
      <c r="R35" s="36" t="str">
        <f>IFERROR(__xludf.DUMMYFUNCTION("""COMPUTED_VALUE"""),"")</f>
        <v/>
      </c>
      <c r="S35" s="36" t="str">
        <f>IFERROR(__xludf.DUMMYFUNCTION("""COMPUTED_VALUE"""),"")</f>
        <v/>
      </c>
      <c r="T35" s="36" t="str">
        <f>IFERROR(__xludf.DUMMYFUNCTION("""COMPUTED_VALUE"""),"")</f>
        <v/>
      </c>
      <c r="U35" s="36" t="str">
        <f>IFERROR(__xludf.DUMMYFUNCTION("""COMPUTED_VALUE"""),"")</f>
        <v/>
      </c>
      <c r="V35" s="36" t="str">
        <f>IFERROR(__xludf.DUMMYFUNCTION("""COMPUTED_VALUE"""),"")</f>
        <v/>
      </c>
      <c r="W35" s="36" t="str">
        <f>IFERROR(__xludf.DUMMYFUNCTION("""COMPUTED_VALUE"""),"")</f>
        <v/>
      </c>
      <c r="X35" s="36" t="str">
        <f>IFERROR(__xludf.DUMMYFUNCTION("""COMPUTED_VALUE"""),"")</f>
        <v/>
      </c>
      <c r="Y35" s="36" t="str">
        <f>IFERROR(__xludf.DUMMYFUNCTION("""COMPUTED_VALUE"""),"")</f>
        <v/>
      </c>
      <c r="Z35" s="4" t="str">
        <f>IFERROR(__xludf.DUMMYFUNCTION("""COMPUTED_VALUE"""),"")</f>
        <v/>
      </c>
      <c r="AA35" s="4" t="str">
        <f>IFERROR(__xludf.DUMMYFUNCTION("""COMPUTED_VALUE"""),"")</f>
        <v/>
      </c>
      <c r="AB35" s="4" t="str">
        <f>IFERROR(__xludf.DUMMYFUNCTION("""COMPUTED_VALUE"""),"")</f>
        <v/>
      </c>
      <c r="AC35" s="4" t="str">
        <f>IFERROR(__xludf.DUMMYFUNCTION("""COMPUTED_VALUE"""),"")</f>
        <v/>
      </c>
      <c r="AD35" s="4" t="str">
        <f>IFERROR(__xludf.DUMMYFUNCTION("""COMPUTED_VALUE"""),"")</f>
        <v/>
      </c>
      <c r="AE35" s="4" t="str">
        <f>IFERROR(__xludf.DUMMYFUNCTION("""COMPUTED_VALUE"""),"")</f>
        <v/>
      </c>
      <c r="AF35" s="4" t="str">
        <f>IFERROR(__xludf.DUMMYFUNCTION("""COMPUTED_VALUE"""),"")</f>
        <v/>
      </c>
      <c r="AG35" s="4" t="str">
        <f>IFERROR(__xludf.DUMMYFUNCTION("""COMPUTED_VALUE"""),"")</f>
        <v/>
      </c>
      <c r="AH35" s="4" t="str">
        <f>IFERROR(__xludf.DUMMYFUNCTION("""COMPUTED_VALUE"""),"")</f>
        <v/>
      </c>
      <c r="AI35" s="4" t="str">
        <f>IFERROR(__xludf.DUMMYFUNCTION("""COMPUTED_VALUE"""),"")</f>
        <v/>
      </c>
      <c r="AJ35" s="4" t="str">
        <f>IFERROR(__xludf.DUMMYFUNCTION("""COMPUTED_VALUE"""),"")</f>
        <v/>
      </c>
      <c r="AK35" s="4" t="str">
        <f>IFERROR(__xludf.DUMMYFUNCTION("""COMPUTED_VALUE"""),"")</f>
        <v/>
      </c>
      <c r="AL35" s="4" t="str">
        <f>IFERROR(__xludf.DUMMYFUNCTION("""COMPUTED_VALUE"""),"")</f>
        <v/>
      </c>
      <c r="AM35" s="4" t="str">
        <f>IFERROR(__xludf.DUMMYFUNCTION("""COMPUTED_VALUE"""),"")</f>
        <v/>
      </c>
      <c r="AN35" s="4" t="str">
        <f>IFERROR(__xludf.DUMMYFUNCTION("""COMPUTED_VALUE"""),"")</f>
        <v/>
      </c>
      <c r="AO35" s="4" t="str">
        <f>IFERROR(__xludf.DUMMYFUNCTION("""COMPUTED_VALUE"""),"")</f>
        <v/>
      </c>
      <c r="AP35" s="4" t="str">
        <f>IFERROR(__xludf.DUMMYFUNCTION("""COMPUTED_VALUE"""),"")</f>
        <v/>
      </c>
      <c r="AQ35" s="4" t="str">
        <f>IFERROR(__xludf.DUMMYFUNCTION("""COMPUTED_VALUE"""),"")</f>
        <v/>
      </c>
      <c r="AR35" s="4" t="str">
        <f>IFERROR(__xludf.DUMMYFUNCTION("""COMPUTED_VALUE"""),"")</f>
        <v/>
      </c>
      <c r="AS35" s="4" t="str">
        <f>IFERROR(__xludf.DUMMYFUNCTION("""COMPUTED_VALUE"""),"")</f>
        <v/>
      </c>
      <c r="AT35" s="4" t="str">
        <f>IFERROR(__xludf.DUMMYFUNCTION("""COMPUTED_VALUE"""),"")</f>
        <v/>
      </c>
    </row>
    <row r="36">
      <c r="A36" s="4" t="str">
        <f>IFERROR(__xludf.DUMMYFUNCTION("""COMPUTED_VALUE"""),"")</f>
        <v/>
      </c>
      <c r="B36" s="36" t="str">
        <f>IFERROR(__xludf.DUMMYFUNCTION("""COMPUTED_VALUE"""),"")</f>
        <v/>
      </c>
      <c r="C36" s="36" t="str">
        <f>IFERROR(__xludf.DUMMYFUNCTION("""COMPUTED_VALUE"""),"")</f>
        <v/>
      </c>
      <c r="D36" s="36" t="str">
        <f>IFERROR(__xludf.DUMMYFUNCTION("""COMPUTED_VALUE"""),"")</f>
        <v/>
      </c>
      <c r="E36" s="36" t="str">
        <f>IFERROR(__xludf.DUMMYFUNCTION("""COMPUTED_VALUE"""),"")</f>
        <v/>
      </c>
      <c r="F36" s="36" t="str">
        <f>IFERROR(__xludf.DUMMYFUNCTION("""COMPUTED_VALUE"""),"")</f>
        <v/>
      </c>
      <c r="G36" s="36" t="str">
        <f>IFERROR(__xludf.DUMMYFUNCTION("""COMPUTED_VALUE"""),"")</f>
        <v/>
      </c>
      <c r="H36" s="36" t="str">
        <f>IFERROR(__xludf.DUMMYFUNCTION("""COMPUTED_VALUE"""),"")</f>
        <v/>
      </c>
      <c r="I36" s="36" t="str">
        <f>IFERROR(__xludf.DUMMYFUNCTION("""COMPUTED_VALUE"""),"")</f>
        <v/>
      </c>
      <c r="J36" s="36" t="str">
        <f>IFERROR(__xludf.DUMMYFUNCTION("""COMPUTED_VALUE"""),"")</f>
        <v/>
      </c>
      <c r="K36" s="36" t="str">
        <f>IFERROR(__xludf.DUMMYFUNCTION("""COMPUTED_VALUE"""),"")</f>
        <v/>
      </c>
      <c r="L36" s="36" t="str">
        <f>IFERROR(__xludf.DUMMYFUNCTION("""COMPUTED_VALUE"""),"")</f>
        <v/>
      </c>
      <c r="M36" s="36" t="str">
        <f>IFERROR(__xludf.DUMMYFUNCTION("""COMPUTED_VALUE"""),"")</f>
        <v/>
      </c>
      <c r="N36" s="36" t="str">
        <f>IFERROR(__xludf.DUMMYFUNCTION("""COMPUTED_VALUE"""),"")</f>
        <v/>
      </c>
      <c r="O36" s="36" t="str">
        <f>IFERROR(__xludf.DUMMYFUNCTION("""COMPUTED_VALUE"""),"")</f>
        <v/>
      </c>
      <c r="P36" s="36" t="str">
        <f>IFERROR(__xludf.DUMMYFUNCTION("""COMPUTED_VALUE"""),"")</f>
        <v/>
      </c>
      <c r="Q36" s="36" t="str">
        <f>IFERROR(__xludf.DUMMYFUNCTION("""COMPUTED_VALUE"""),"")</f>
        <v/>
      </c>
      <c r="R36" s="36" t="str">
        <f>IFERROR(__xludf.DUMMYFUNCTION("""COMPUTED_VALUE"""),"")</f>
        <v/>
      </c>
      <c r="S36" s="36" t="str">
        <f>IFERROR(__xludf.DUMMYFUNCTION("""COMPUTED_VALUE"""),"")</f>
        <v/>
      </c>
      <c r="T36" s="36" t="str">
        <f>IFERROR(__xludf.DUMMYFUNCTION("""COMPUTED_VALUE"""),"")</f>
        <v/>
      </c>
      <c r="U36" s="36" t="str">
        <f>IFERROR(__xludf.DUMMYFUNCTION("""COMPUTED_VALUE"""),"")</f>
        <v/>
      </c>
      <c r="V36" s="36" t="str">
        <f>IFERROR(__xludf.DUMMYFUNCTION("""COMPUTED_VALUE"""),"")</f>
        <v/>
      </c>
      <c r="W36" s="36" t="str">
        <f>IFERROR(__xludf.DUMMYFUNCTION("""COMPUTED_VALUE"""),"")</f>
        <v/>
      </c>
      <c r="X36" s="36" t="str">
        <f>IFERROR(__xludf.DUMMYFUNCTION("""COMPUTED_VALUE"""),"")</f>
        <v/>
      </c>
      <c r="Y36" s="36" t="str">
        <f>IFERROR(__xludf.DUMMYFUNCTION("""COMPUTED_VALUE"""),"")</f>
        <v/>
      </c>
      <c r="Z36" s="4" t="str">
        <f>IFERROR(__xludf.DUMMYFUNCTION("""COMPUTED_VALUE"""),"")</f>
        <v/>
      </c>
      <c r="AA36" s="4" t="str">
        <f>IFERROR(__xludf.DUMMYFUNCTION("""COMPUTED_VALUE"""),"")</f>
        <v/>
      </c>
      <c r="AB36" s="4" t="str">
        <f>IFERROR(__xludf.DUMMYFUNCTION("""COMPUTED_VALUE"""),"")</f>
        <v/>
      </c>
      <c r="AC36" s="4" t="str">
        <f>IFERROR(__xludf.DUMMYFUNCTION("""COMPUTED_VALUE"""),"")</f>
        <v/>
      </c>
      <c r="AD36" s="4" t="str">
        <f>IFERROR(__xludf.DUMMYFUNCTION("""COMPUTED_VALUE"""),"")</f>
        <v/>
      </c>
      <c r="AE36" s="4" t="str">
        <f>IFERROR(__xludf.DUMMYFUNCTION("""COMPUTED_VALUE"""),"")</f>
        <v/>
      </c>
      <c r="AF36" s="4" t="str">
        <f>IFERROR(__xludf.DUMMYFUNCTION("""COMPUTED_VALUE"""),"")</f>
        <v/>
      </c>
      <c r="AG36" s="4" t="str">
        <f>IFERROR(__xludf.DUMMYFUNCTION("""COMPUTED_VALUE"""),"")</f>
        <v/>
      </c>
      <c r="AH36" s="4" t="str">
        <f>IFERROR(__xludf.DUMMYFUNCTION("""COMPUTED_VALUE"""),"")</f>
        <v/>
      </c>
      <c r="AI36" s="4" t="str">
        <f>IFERROR(__xludf.DUMMYFUNCTION("""COMPUTED_VALUE"""),"")</f>
        <v/>
      </c>
      <c r="AJ36" s="4" t="str">
        <f>IFERROR(__xludf.DUMMYFUNCTION("""COMPUTED_VALUE"""),"")</f>
        <v/>
      </c>
      <c r="AK36" s="4" t="str">
        <f>IFERROR(__xludf.DUMMYFUNCTION("""COMPUTED_VALUE"""),"")</f>
        <v/>
      </c>
      <c r="AL36" s="4" t="str">
        <f>IFERROR(__xludf.DUMMYFUNCTION("""COMPUTED_VALUE"""),"")</f>
        <v/>
      </c>
      <c r="AM36" s="4" t="str">
        <f>IFERROR(__xludf.DUMMYFUNCTION("""COMPUTED_VALUE"""),"")</f>
        <v/>
      </c>
      <c r="AN36" s="4" t="str">
        <f>IFERROR(__xludf.DUMMYFUNCTION("""COMPUTED_VALUE"""),"")</f>
        <v/>
      </c>
      <c r="AO36" s="4" t="str">
        <f>IFERROR(__xludf.DUMMYFUNCTION("""COMPUTED_VALUE"""),"")</f>
        <v/>
      </c>
      <c r="AP36" s="4" t="str">
        <f>IFERROR(__xludf.DUMMYFUNCTION("""COMPUTED_VALUE"""),"")</f>
        <v/>
      </c>
      <c r="AQ36" s="4" t="str">
        <f>IFERROR(__xludf.DUMMYFUNCTION("""COMPUTED_VALUE"""),"")</f>
        <v/>
      </c>
      <c r="AR36" s="4" t="str">
        <f>IFERROR(__xludf.DUMMYFUNCTION("""COMPUTED_VALUE"""),"")</f>
        <v/>
      </c>
      <c r="AS36" s="4" t="str">
        <f>IFERROR(__xludf.DUMMYFUNCTION("""COMPUTED_VALUE"""),"")</f>
        <v/>
      </c>
      <c r="AT36" s="4" t="str">
        <f>IFERROR(__xludf.DUMMYFUNCTION("""COMPUTED_VALUE"""),"")</f>
        <v/>
      </c>
    </row>
    <row r="37">
      <c r="A37" s="4" t="str">
        <f>IFERROR(__xludf.DUMMYFUNCTION("""COMPUTED_VALUE"""),"")</f>
        <v/>
      </c>
      <c r="B37" s="4" t="str">
        <f>IFERROR(__xludf.DUMMYFUNCTION("""COMPUTED_VALUE"""),"")</f>
        <v/>
      </c>
      <c r="C37" s="4" t="str">
        <f>IFERROR(__xludf.DUMMYFUNCTION("""COMPUTED_VALUE"""),"")</f>
        <v/>
      </c>
      <c r="D37" s="4" t="str">
        <f>IFERROR(__xludf.DUMMYFUNCTION("""COMPUTED_VALUE"""),"")</f>
        <v/>
      </c>
      <c r="E37" s="4" t="str">
        <f>IFERROR(__xludf.DUMMYFUNCTION("""COMPUTED_VALUE"""),"")</f>
        <v/>
      </c>
      <c r="F37" s="4" t="str">
        <f>IFERROR(__xludf.DUMMYFUNCTION("""COMPUTED_VALUE"""),"")</f>
        <v/>
      </c>
      <c r="G37" s="4" t="str">
        <f>IFERROR(__xludf.DUMMYFUNCTION("""COMPUTED_VALUE"""),"")</f>
        <v/>
      </c>
      <c r="H37" s="4" t="str">
        <f>IFERROR(__xludf.DUMMYFUNCTION("""COMPUTED_VALUE"""),"")</f>
        <v/>
      </c>
      <c r="I37" s="4" t="str">
        <f>IFERROR(__xludf.DUMMYFUNCTION("""COMPUTED_VALUE"""),"")</f>
        <v/>
      </c>
      <c r="J37" s="4" t="str">
        <f>IFERROR(__xludf.DUMMYFUNCTION("""COMPUTED_VALUE"""),"")</f>
        <v/>
      </c>
      <c r="K37" s="4" t="str">
        <f>IFERROR(__xludf.DUMMYFUNCTION("""COMPUTED_VALUE"""),"")</f>
        <v/>
      </c>
      <c r="L37" s="4" t="str">
        <f>IFERROR(__xludf.DUMMYFUNCTION("""COMPUTED_VALUE"""),"")</f>
        <v/>
      </c>
      <c r="M37" s="4" t="str">
        <f>IFERROR(__xludf.DUMMYFUNCTION("""COMPUTED_VALUE"""),"")</f>
        <v/>
      </c>
      <c r="N37" s="4" t="str">
        <f>IFERROR(__xludf.DUMMYFUNCTION("""COMPUTED_VALUE"""),"")</f>
        <v/>
      </c>
      <c r="O37" s="4" t="str">
        <f>IFERROR(__xludf.DUMMYFUNCTION("""COMPUTED_VALUE"""),"")</f>
        <v/>
      </c>
      <c r="P37" s="4" t="str">
        <f>IFERROR(__xludf.DUMMYFUNCTION("""COMPUTED_VALUE"""),"")</f>
        <v/>
      </c>
      <c r="Q37" s="4" t="str">
        <f>IFERROR(__xludf.DUMMYFUNCTION("""COMPUTED_VALUE"""),"")</f>
        <v/>
      </c>
      <c r="R37" s="4" t="str">
        <f>IFERROR(__xludf.DUMMYFUNCTION("""COMPUTED_VALUE"""),"")</f>
        <v/>
      </c>
      <c r="S37" s="4" t="str">
        <f>IFERROR(__xludf.DUMMYFUNCTION("""COMPUTED_VALUE"""),"")</f>
        <v/>
      </c>
      <c r="T37" s="4" t="str">
        <f>IFERROR(__xludf.DUMMYFUNCTION("""COMPUTED_VALUE"""),"")</f>
        <v/>
      </c>
      <c r="U37" s="4" t="str">
        <f>IFERROR(__xludf.DUMMYFUNCTION("""COMPUTED_VALUE"""),"")</f>
        <v/>
      </c>
      <c r="V37" s="4" t="str">
        <f>IFERROR(__xludf.DUMMYFUNCTION("""COMPUTED_VALUE"""),"")</f>
        <v/>
      </c>
      <c r="W37" s="4" t="str">
        <f>IFERROR(__xludf.DUMMYFUNCTION("""COMPUTED_VALUE"""),"")</f>
        <v/>
      </c>
      <c r="X37" s="4" t="str">
        <f>IFERROR(__xludf.DUMMYFUNCTION("""COMPUTED_VALUE"""),"")</f>
        <v/>
      </c>
      <c r="Y37" s="4" t="str">
        <f>IFERROR(__xludf.DUMMYFUNCTION("""COMPUTED_VALUE"""),"")</f>
        <v/>
      </c>
      <c r="Z37" s="4" t="str">
        <f>IFERROR(__xludf.DUMMYFUNCTION("""COMPUTED_VALUE"""),"")</f>
        <v/>
      </c>
      <c r="AA37" s="4" t="str">
        <f>IFERROR(__xludf.DUMMYFUNCTION("""COMPUTED_VALUE"""),"")</f>
        <v/>
      </c>
      <c r="AB37" s="4" t="str">
        <f>IFERROR(__xludf.DUMMYFUNCTION("""COMPUTED_VALUE"""),"")</f>
        <v/>
      </c>
      <c r="AC37" s="4" t="str">
        <f>IFERROR(__xludf.DUMMYFUNCTION("""COMPUTED_VALUE"""),"")</f>
        <v/>
      </c>
      <c r="AD37" s="4" t="str">
        <f>IFERROR(__xludf.DUMMYFUNCTION("""COMPUTED_VALUE"""),"")</f>
        <v/>
      </c>
      <c r="AE37" s="4" t="str">
        <f>IFERROR(__xludf.DUMMYFUNCTION("""COMPUTED_VALUE"""),"")</f>
        <v/>
      </c>
      <c r="AF37" s="4" t="str">
        <f>IFERROR(__xludf.DUMMYFUNCTION("""COMPUTED_VALUE"""),"")</f>
        <v/>
      </c>
      <c r="AG37" s="4" t="str">
        <f>IFERROR(__xludf.DUMMYFUNCTION("""COMPUTED_VALUE"""),"")</f>
        <v/>
      </c>
      <c r="AH37" s="4" t="str">
        <f>IFERROR(__xludf.DUMMYFUNCTION("""COMPUTED_VALUE"""),"")</f>
        <v/>
      </c>
      <c r="AI37" s="4" t="str">
        <f>IFERROR(__xludf.DUMMYFUNCTION("""COMPUTED_VALUE"""),"")</f>
        <v/>
      </c>
      <c r="AJ37" s="4" t="str">
        <f>IFERROR(__xludf.DUMMYFUNCTION("""COMPUTED_VALUE"""),"")</f>
        <v/>
      </c>
      <c r="AK37" s="4" t="str">
        <f>IFERROR(__xludf.DUMMYFUNCTION("""COMPUTED_VALUE"""),"")</f>
        <v/>
      </c>
      <c r="AL37" s="4" t="str">
        <f>IFERROR(__xludf.DUMMYFUNCTION("""COMPUTED_VALUE"""),"")</f>
        <v/>
      </c>
      <c r="AM37" s="4" t="str">
        <f>IFERROR(__xludf.DUMMYFUNCTION("""COMPUTED_VALUE"""),"")</f>
        <v/>
      </c>
      <c r="AN37" s="4" t="str">
        <f>IFERROR(__xludf.DUMMYFUNCTION("""COMPUTED_VALUE"""),"")</f>
        <v/>
      </c>
      <c r="AO37" s="4" t="str">
        <f>IFERROR(__xludf.DUMMYFUNCTION("""COMPUTED_VALUE"""),"")</f>
        <v/>
      </c>
      <c r="AP37" s="4" t="str">
        <f>IFERROR(__xludf.DUMMYFUNCTION("""COMPUTED_VALUE"""),"")</f>
        <v/>
      </c>
      <c r="AQ37" s="4" t="str">
        <f>IFERROR(__xludf.DUMMYFUNCTION("""COMPUTED_VALUE"""),"")</f>
        <v/>
      </c>
      <c r="AR37" s="4" t="str">
        <f>IFERROR(__xludf.DUMMYFUNCTION("""COMPUTED_VALUE"""),"")</f>
        <v/>
      </c>
      <c r="AS37" s="4" t="str">
        <f>IFERROR(__xludf.DUMMYFUNCTION("""COMPUTED_VALUE"""),"")</f>
        <v/>
      </c>
      <c r="AT37" s="4" t="str">
        <f>IFERROR(__xludf.DUMMYFUNCTION("""COMPUTED_VALUE"""),"")</f>
        <v/>
      </c>
    </row>
    <row r="38">
      <c r="A38" s="4" t="str">
        <f>IFERROR(__xludf.DUMMYFUNCTION("""COMPUTED_VALUE"""),"")</f>
        <v/>
      </c>
      <c r="B38" s="4" t="str">
        <f>IFERROR(__xludf.DUMMYFUNCTION("""COMPUTED_VALUE"""),"")</f>
        <v/>
      </c>
      <c r="C38" s="4" t="str">
        <f>IFERROR(__xludf.DUMMYFUNCTION("""COMPUTED_VALUE"""),"")</f>
        <v/>
      </c>
      <c r="D38" s="4" t="str">
        <f>IFERROR(__xludf.DUMMYFUNCTION("""COMPUTED_VALUE"""),"")</f>
        <v/>
      </c>
      <c r="E38" s="4" t="str">
        <f>IFERROR(__xludf.DUMMYFUNCTION("""COMPUTED_VALUE"""),"")</f>
        <v/>
      </c>
      <c r="F38" s="4" t="str">
        <f>IFERROR(__xludf.DUMMYFUNCTION("""COMPUTED_VALUE"""),"")</f>
        <v/>
      </c>
      <c r="G38" s="4" t="str">
        <f>IFERROR(__xludf.DUMMYFUNCTION("""COMPUTED_VALUE"""),"")</f>
        <v/>
      </c>
      <c r="H38" s="4" t="str">
        <f>IFERROR(__xludf.DUMMYFUNCTION("""COMPUTED_VALUE"""),"")</f>
        <v/>
      </c>
      <c r="I38" s="4" t="str">
        <f>IFERROR(__xludf.DUMMYFUNCTION("""COMPUTED_VALUE"""),"")</f>
        <v/>
      </c>
      <c r="J38" s="4" t="str">
        <f>IFERROR(__xludf.DUMMYFUNCTION("""COMPUTED_VALUE"""),"")</f>
        <v/>
      </c>
      <c r="K38" s="4" t="str">
        <f>IFERROR(__xludf.DUMMYFUNCTION("""COMPUTED_VALUE"""),"")</f>
        <v/>
      </c>
      <c r="L38" s="4" t="str">
        <f>IFERROR(__xludf.DUMMYFUNCTION("""COMPUTED_VALUE"""),"")</f>
        <v/>
      </c>
      <c r="M38" s="4" t="str">
        <f>IFERROR(__xludf.DUMMYFUNCTION("""COMPUTED_VALUE"""),"")</f>
        <v/>
      </c>
      <c r="N38" s="4" t="str">
        <f>IFERROR(__xludf.DUMMYFUNCTION("""COMPUTED_VALUE"""),"")</f>
        <v/>
      </c>
      <c r="O38" s="4" t="str">
        <f>IFERROR(__xludf.DUMMYFUNCTION("""COMPUTED_VALUE"""),"")</f>
        <v/>
      </c>
      <c r="P38" s="4" t="str">
        <f>IFERROR(__xludf.DUMMYFUNCTION("""COMPUTED_VALUE"""),"")</f>
        <v/>
      </c>
      <c r="Q38" s="4" t="str">
        <f>IFERROR(__xludf.DUMMYFUNCTION("""COMPUTED_VALUE"""),"")</f>
        <v/>
      </c>
      <c r="R38" s="4" t="str">
        <f>IFERROR(__xludf.DUMMYFUNCTION("""COMPUTED_VALUE"""),"")</f>
        <v/>
      </c>
      <c r="S38" s="4" t="str">
        <f>IFERROR(__xludf.DUMMYFUNCTION("""COMPUTED_VALUE"""),"")</f>
        <v/>
      </c>
      <c r="T38" s="4" t="str">
        <f>IFERROR(__xludf.DUMMYFUNCTION("""COMPUTED_VALUE"""),"")</f>
        <v/>
      </c>
      <c r="U38" s="4" t="str">
        <f>IFERROR(__xludf.DUMMYFUNCTION("""COMPUTED_VALUE"""),"")</f>
        <v/>
      </c>
      <c r="V38" s="4" t="str">
        <f>IFERROR(__xludf.DUMMYFUNCTION("""COMPUTED_VALUE"""),"")</f>
        <v/>
      </c>
      <c r="W38" s="4" t="str">
        <f>IFERROR(__xludf.DUMMYFUNCTION("""COMPUTED_VALUE"""),"")</f>
        <v/>
      </c>
      <c r="X38" s="4" t="str">
        <f>IFERROR(__xludf.DUMMYFUNCTION("""COMPUTED_VALUE"""),"")</f>
        <v/>
      </c>
      <c r="Y38" s="4" t="str">
        <f>IFERROR(__xludf.DUMMYFUNCTION("""COMPUTED_VALUE"""),"")</f>
        <v/>
      </c>
      <c r="Z38" s="4" t="str">
        <f>IFERROR(__xludf.DUMMYFUNCTION("""COMPUTED_VALUE"""),"")</f>
        <v/>
      </c>
      <c r="AA38" s="4" t="str">
        <f>IFERROR(__xludf.DUMMYFUNCTION("""COMPUTED_VALUE"""),"")</f>
        <v/>
      </c>
      <c r="AB38" s="4" t="str">
        <f>IFERROR(__xludf.DUMMYFUNCTION("""COMPUTED_VALUE"""),"")</f>
        <v/>
      </c>
      <c r="AC38" s="4" t="str">
        <f>IFERROR(__xludf.DUMMYFUNCTION("""COMPUTED_VALUE"""),"")</f>
        <v/>
      </c>
      <c r="AD38" s="4" t="str">
        <f>IFERROR(__xludf.DUMMYFUNCTION("""COMPUTED_VALUE"""),"")</f>
        <v/>
      </c>
      <c r="AE38" s="4" t="str">
        <f>IFERROR(__xludf.DUMMYFUNCTION("""COMPUTED_VALUE"""),"")</f>
        <v/>
      </c>
      <c r="AF38" s="4" t="str">
        <f>IFERROR(__xludf.DUMMYFUNCTION("""COMPUTED_VALUE"""),"")</f>
        <v/>
      </c>
      <c r="AG38" s="4" t="str">
        <f>IFERROR(__xludf.DUMMYFUNCTION("""COMPUTED_VALUE"""),"")</f>
        <v/>
      </c>
      <c r="AH38" s="4" t="str">
        <f>IFERROR(__xludf.DUMMYFUNCTION("""COMPUTED_VALUE"""),"")</f>
        <v/>
      </c>
      <c r="AI38" s="4" t="str">
        <f>IFERROR(__xludf.DUMMYFUNCTION("""COMPUTED_VALUE"""),"")</f>
        <v/>
      </c>
      <c r="AJ38" s="4" t="str">
        <f>IFERROR(__xludf.DUMMYFUNCTION("""COMPUTED_VALUE"""),"")</f>
        <v/>
      </c>
      <c r="AK38" s="4" t="str">
        <f>IFERROR(__xludf.DUMMYFUNCTION("""COMPUTED_VALUE"""),"")</f>
        <v/>
      </c>
      <c r="AL38" s="4" t="str">
        <f>IFERROR(__xludf.DUMMYFUNCTION("""COMPUTED_VALUE"""),"")</f>
        <v/>
      </c>
      <c r="AM38" s="4" t="str">
        <f>IFERROR(__xludf.DUMMYFUNCTION("""COMPUTED_VALUE"""),"")</f>
        <v/>
      </c>
      <c r="AN38" s="4" t="str">
        <f>IFERROR(__xludf.DUMMYFUNCTION("""COMPUTED_VALUE"""),"")</f>
        <v/>
      </c>
      <c r="AO38" s="4" t="str">
        <f>IFERROR(__xludf.DUMMYFUNCTION("""COMPUTED_VALUE"""),"")</f>
        <v/>
      </c>
      <c r="AP38" s="4" t="str">
        <f>IFERROR(__xludf.DUMMYFUNCTION("""COMPUTED_VALUE"""),"")</f>
        <v/>
      </c>
      <c r="AQ38" s="4" t="str">
        <f>IFERROR(__xludf.DUMMYFUNCTION("""COMPUTED_VALUE"""),"")</f>
        <v/>
      </c>
      <c r="AR38" s="4" t="str">
        <f>IFERROR(__xludf.DUMMYFUNCTION("""COMPUTED_VALUE"""),"")</f>
        <v/>
      </c>
      <c r="AS38" s="4" t="str">
        <f>IFERROR(__xludf.DUMMYFUNCTION("""COMPUTED_VALUE"""),"")</f>
        <v/>
      </c>
      <c r="AT38" s="4" t="str">
        <f>IFERROR(__xludf.DUMMYFUNCTION("""COMPUTED_VALUE"""),"")</f>
        <v/>
      </c>
    </row>
    <row r="39">
      <c r="A39" s="4" t="str">
        <f>IFERROR(__xludf.DUMMYFUNCTION("""COMPUTED_VALUE"""),"")</f>
        <v/>
      </c>
      <c r="B39" s="4" t="str">
        <f>IFERROR(__xludf.DUMMYFUNCTION("""COMPUTED_VALUE"""),"")</f>
        <v/>
      </c>
      <c r="C39" s="4" t="str">
        <f>IFERROR(__xludf.DUMMYFUNCTION("""COMPUTED_VALUE"""),"")</f>
        <v/>
      </c>
      <c r="D39" s="4" t="str">
        <f>IFERROR(__xludf.DUMMYFUNCTION("""COMPUTED_VALUE"""),"")</f>
        <v/>
      </c>
      <c r="E39" s="4" t="str">
        <f>IFERROR(__xludf.DUMMYFUNCTION("""COMPUTED_VALUE"""),"")</f>
        <v/>
      </c>
      <c r="F39" s="4" t="str">
        <f>IFERROR(__xludf.DUMMYFUNCTION("""COMPUTED_VALUE"""),"")</f>
        <v/>
      </c>
      <c r="G39" s="4" t="str">
        <f>IFERROR(__xludf.DUMMYFUNCTION("""COMPUTED_VALUE"""),"")</f>
        <v/>
      </c>
      <c r="H39" s="4" t="str">
        <f>IFERROR(__xludf.DUMMYFUNCTION("""COMPUTED_VALUE"""),"")</f>
        <v/>
      </c>
      <c r="I39" s="4" t="str">
        <f>IFERROR(__xludf.DUMMYFUNCTION("""COMPUTED_VALUE"""),"")</f>
        <v/>
      </c>
      <c r="J39" s="4" t="str">
        <f>IFERROR(__xludf.DUMMYFUNCTION("""COMPUTED_VALUE"""),"")</f>
        <v/>
      </c>
      <c r="K39" s="4" t="str">
        <f>IFERROR(__xludf.DUMMYFUNCTION("""COMPUTED_VALUE"""),"")</f>
        <v/>
      </c>
      <c r="L39" s="4" t="str">
        <f>IFERROR(__xludf.DUMMYFUNCTION("""COMPUTED_VALUE"""),"")</f>
        <v/>
      </c>
      <c r="M39" s="4" t="str">
        <f>IFERROR(__xludf.DUMMYFUNCTION("""COMPUTED_VALUE"""),"")</f>
        <v/>
      </c>
      <c r="N39" s="4" t="str">
        <f>IFERROR(__xludf.DUMMYFUNCTION("""COMPUTED_VALUE"""),"")</f>
        <v/>
      </c>
      <c r="O39" s="4" t="str">
        <f>IFERROR(__xludf.DUMMYFUNCTION("""COMPUTED_VALUE"""),"")</f>
        <v/>
      </c>
      <c r="P39" s="4" t="str">
        <f>IFERROR(__xludf.DUMMYFUNCTION("""COMPUTED_VALUE"""),"")</f>
        <v/>
      </c>
      <c r="Q39" s="4" t="str">
        <f>IFERROR(__xludf.DUMMYFUNCTION("""COMPUTED_VALUE"""),"")</f>
        <v/>
      </c>
      <c r="R39" s="4" t="str">
        <f>IFERROR(__xludf.DUMMYFUNCTION("""COMPUTED_VALUE"""),"")</f>
        <v/>
      </c>
      <c r="S39" s="4" t="str">
        <f>IFERROR(__xludf.DUMMYFUNCTION("""COMPUTED_VALUE"""),"")</f>
        <v/>
      </c>
      <c r="T39" s="4" t="str">
        <f>IFERROR(__xludf.DUMMYFUNCTION("""COMPUTED_VALUE"""),"")</f>
        <v/>
      </c>
      <c r="U39" s="4" t="str">
        <f>IFERROR(__xludf.DUMMYFUNCTION("""COMPUTED_VALUE"""),"")</f>
        <v/>
      </c>
      <c r="V39" s="4" t="str">
        <f>IFERROR(__xludf.DUMMYFUNCTION("""COMPUTED_VALUE"""),"")</f>
        <v/>
      </c>
      <c r="W39" s="4" t="str">
        <f>IFERROR(__xludf.DUMMYFUNCTION("""COMPUTED_VALUE"""),"")</f>
        <v/>
      </c>
      <c r="X39" s="4" t="str">
        <f>IFERROR(__xludf.DUMMYFUNCTION("""COMPUTED_VALUE"""),"")</f>
        <v/>
      </c>
      <c r="Y39" s="4" t="str">
        <f>IFERROR(__xludf.DUMMYFUNCTION("""COMPUTED_VALUE"""),"")</f>
        <v/>
      </c>
      <c r="Z39" s="4" t="str">
        <f>IFERROR(__xludf.DUMMYFUNCTION("""COMPUTED_VALUE"""),"")</f>
        <v/>
      </c>
      <c r="AA39" s="4" t="str">
        <f>IFERROR(__xludf.DUMMYFUNCTION("""COMPUTED_VALUE"""),"")</f>
        <v/>
      </c>
      <c r="AB39" s="4" t="str">
        <f>IFERROR(__xludf.DUMMYFUNCTION("""COMPUTED_VALUE"""),"")</f>
        <v/>
      </c>
      <c r="AC39" s="4" t="str">
        <f>IFERROR(__xludf.DUMMYFUNCTION("""COMPUTED_VALUE"""),"")</f>
        <v/>
      </c>
      <c r="AD39" s="4" t="str">
        <f>IFERROR(__xludf.DUMMYFUNCTION("""COMPUTED_VALUE"""),"")</f>
        <v/>
      </c>
      <c r="AE39" s="4" t="str">
        <f>IFERROR(__xludf.DUMMYFUNCTION("""COMPUTED_VALUE"""),"")</f>
        <v/>
      </c>
      <c r="AF39" s="4" t="str">
        <f>IFERROR(__xludf.DUMMYFUNCTION("""COMPUTED_VALUE"""),"")</f>
        <v/>
      </c>
      <c r="AG39" s="4" t="str">
        <f>IFERROR(__xludf.DUMMYFUNCTION("""COMPUTED_VALUE"""),"")</f>
        <v/>
      </c>
      <c r="AH39" s="4" t="str">
        <f>IFERROR(__xludf.DUMMYFUNCTION("""COMPUTED_VALUE"""),"")</f>
        <v/>
      </c>
      <c r="AI39" s="4" t="str">
        <f>IFERROR(__xludf.DUMMYFUNCTION("""COMPUTED_VALUE"""),"")</f>
        <v/>
      </c>
      <c r="AJ39" s="4" t="str">
        <f>IFERROR(__xludf.DUMMYFUNCTION("""COMPUTED_VALUE"""),"")</f>
        <v/>
      </c>
      <c r="AK39" s="4" t="str">
        <f>IFERROR(__xludf.DUMMYFUNCTION("""COMPUTED_VALUE"""),"")</f>
        <v/>
      </c>
      <c r="AL39" s="4" t="str">
        <f>IFERROR(__xludf.DUMMYFUNCTION("""COMPUTED_VALUE"""),"")</f>
        <v/>
      </c>
      <c r="AM39" s="4" t="str">
        <f>IFERROR(__xludf.DUMMYFUNCTION("""COMPUTED_VALUE"""),"")</f>
        <v/>
      </c>
      <c r="AN39" s="4" t="str">
        <f>IFERROR(__xludf.DUMMYFUNCTION("""COMPUTED_VALUE"""),"")</f>
        <v/>
      </c>
      <c r="AO39" s="4" t="str">
        <f>IFERROR(__xludf.DUMMYFUNCTION("""COMPUTED_VALUE"""),"")</f>
        <v/>
      </c>
      <c r="AP39" s="4" t="str">
        <f>IFERROR(__xludf.DUMMYFUNCTION("""COMPUTED_VALUE"""),"")</f>
        <v/>
      </c>
      <c r="AQ39" s="4" t="str">
        <f>IFERROR(__xludf.DUMMYFUNCTION("""COMPUTED_VALUE"""),"")</f>
        <v/>
      </c>
      <c r="AR39" s="4" t="str">
        <f>IFERROR(__xludf.DUMMYFUNCTION("""COMPUTED_VALUE"""),"")</f>
        <v/>
      </c>
      <c r="AS39" s="4" t="str">
        <f>IFERROR(__xludf.DUMMYFUNCTION("""COMPUTED_VALUE"""),"")</f>
        <v/>
      </c>
      <c r="AT39" s="4" t="str">
        <f>IFERROR(__xludf.DUMMYFUNCTION("""COMPUTED_VALUE"""),"")</f>
        <v/>
      </c>
    </row>
    <row r="40">
      <c r="A40" s="4" t="str">
        <f>IFERROR(__xludf.DUMMYFUNCTION("""COMPUTED_VALUE"""),"")</f>
        <v/>
      </c>
      <c r="B40" s="4" t="str">
        <f>IFERROR(__xludf.DUMMYFUNCTION("""COMPUTED_VALUE"""),"")</f>
        <v/>
      </c>
      <c r="C40" s="4" t="str">
        <f>IFERROR(__xludf.DUMMYFUNCTION("""COMPUTED_VALUE"""),"")</f>
        <v/>
      </c>
      <c r="D40" s="4" t="str">
        <f>IFERROR(__xludf.DUMMYFUNCTION("""COMPUTED_VALUE"""),"")</f>
        <v/>
      </c>
      <c r="E40" s="4" t="str">
        <f>IFERROR(__xludf.DUMMYFUNCTION("""COMPUTED_VALUE"""),"")</f>
        <v/>
      </c>
      <c r="F40" s="4" t="str">
        <f>IFERROR(__xludf.DUMMYFUNCTION("""COMPUTED_VALUE"""),"")</f>
        <v/>
      </c>
      <c r="G40" s="4" t="str">
        <f>IFERROR(__xludf.DUMMYFUNCTION("""COMPUTED_VALUE"""),"")</f>
        <v/>
      </c>
      <c r="H40" s="4" t="str">
        <f>IFERROR(__xludf.DUMMYFUNCTION("""COMPUTED_VALUE"""),"")</f>
        <v/>
      </c>
      <c r="I40" s="4" t="str">
        <f>IFERROR(__xludf.DUMMYFUNCTION("""COMPUTED_VALUE"""),"")</f>
        <v/>
      </c>
      <c r="J40" s="4" t="str">
        <f>IFERROR(__xludf.DUMMYFUNCTION("""COMPUTED_VALUE"""),"")</f>
        <v/>
      </c>
      <c r="K40" s="4" t="str">
        <f>IFERROR(__xludf.DUMMYFUNCTION("""COMPUTED_VALUE"""),"")</f>
        <v/>
      </c>
      <c r="L40" s="4" t="str">
        <f>IFERROR(__xludf.DUMMYFUNCTION("""COMPUTED_VALUE"""),"")</f>
        <v/>
      </c>
      <c r="M40" s="4" t="str">
        <f>IFERROR(__xludf.DUMMYFUNCTION("""COMPUTED_VALUE"""),"")</f>
        <v/>
      </c>
      <c r="N40" s="4" t="str">
        <f>IFERROR(__xludf.DUMMYFUNCTION("""COMPUTED_VALUE"""),"")</f>
        <v/>
      </c>
      <c r="O40" s="4" t="str">
        <f>IFERROR(__xludf.DUMMYFUNCTION("""COMPUTED_VALUE"""),"")</f>
        <v/>
      </c>
      <c r="P40" s="4" t="str">
        <f>IFERROR(__xludf.DUMMYFUNCTION("""COMPUTED_VALUE"""),"")</f>
        <v/>
      </c>
      <c r="Q40" s="4" t="str">
        <f>IFERROR(__xludf.DUMMYFUNCTION("""COMPUTED_VALUE"""),"")</f>
        <v/>
      </c>
      <c r="R40" s="4" t="str">
        <f>IFERROR(__xludf.DUMMYFUNCTION("""COMPUTED_VALUE"""),"")</f>
        <v/>
      </c>
      <c r="S40" s="4" t="str">
        <f>IFERROR(__xludf.DUMMYFUNCTION("""COMPUTED_VALUE"""),"")</f>
        <v/>
      </c>
      <c r="T40" s="4" t="str">
        <f>IFERROR(__xludf.DUMMYFUNCTION("""COMPUTED_VALUE"""),"")</f>
        <v/>
      </c>
      <c r="U40" s="4" t="str">
        <f>IFERROR(__xludf.DUMMYFUNCTION("""COMPUTED_VALUE"""),"")</f>
        <v/>
      </c>
      <c r="V40" s="4" t="str">
        <f>IFERROR(__xludf.DUMMYFUNCTION("""COMPUTED_VALUE"""),"")</f>
        <v/>
      </c>
      <c r="W40" s="4" t="str">
        <f>IFERROR(__xludf.DUMMYFUNCTION("""COMPUTED_VALUE"""),"")</f>
        <v/>
      </c>
      <c r="X40" s="4" t="str">
        <f>IFERROR(__xludf.DUMMYFUNCTION("""COMPUTED_VALUE"""),"")</f>
        <v/>
      </c>
      <c r="Y40" s="4" t="str">
        <f>IFERROR(__xludf.DUMMYFUNCTION("""COMPUTED_VALUE"""),"")</f>
        <v/>
      </c>
      <c r="Z40" s="4" t="str">
        <f>IFERROR(__xludf.DUMMYFUNCTION("""COMPUTED_VALUE"""),"")</f>
        <v/>
      </c>
      <c r="AA40" s="4" t="str">
        <f>IFERROR(__xludf.DUMMYFUNCTION("""COMPUTED_VALUE"""),"")</f>
        <v/>
      </c>
      <c r="AB40" s="4" t="str">
        <f>IFERROR(__xludf.DUMMYFUNCTION("""COMPUTED_VALUE"""),"")</f>
        <v/>
      </c>
      <c r="AC40" s="4" t="str">
        <f>IFERROR(__xludf.DUMMYFUNCTION("""COMPUTED_VALUE"""),"")</f>
        <v/>
      </c>
      <c r="AD40" s="4" t="str">
        <f>IFERROR(__xludf.DUMMYFUNCTION("""COMPUTED_VALUE"""),"")</f>
        <v/>
      </c>
      <c r="AE40" s="4" t="str">
        <f>IFERROR(__xludf.DUMMYFUNCTION("""COMPUTED_VALUE"""),"")</f>
        <v/>
      </c>
      <c r="AF40" s="4" t="str">
        <f>IFERROR(__xludf.DUMMYFUNCTION("""COMPUTED_VALUE"""),"")</f>
        <v/>
      </c>
      <c r="AG40" s="4" t="str">
        <f>IFERROR(__xludf.DUMMYFUNCTION("""COMPUTED_VALUE"""),"")</f>
        <v/>
      </c>
      <c r="AH40" s="4" t="str">
        <f>IFERROR(__xludf.DUMMYFUNCTION("""COMPUTED_VALUE"""),"")</f>
        <v/>
      </c>
      <c r="AI40" s="4" t="str">
        <f>IFERROR(__xludf.DUMMYFUNCTION("""COMPUTED_VALUE"""),"")</f>
        <v/>
      </c>
      <c r="AJ40" s="4" t="str">
        <f>IFERROR(__xludf.DUMMYFUNCTION("""COMPUTED_VALUE"""),"")</f>
        <v/>
      </c>
      <c r="AK40" s="4" t="str">
        <f>IFERROR(__xludf.DUMMYFUNCTION("""COMPUTED_VALUE"""),"")</f>
        <v/>
      </c>
      <c r="AL40" s="4" t="str">
        <f>IFERROR(__xludf.DUMMYFUNCTION("""COMPUTED_VALUE"""),"")</f>
        <v/>
      </c>
      <c r="AM40" s="4" t="str">
        <f>IFERROR(__xludf.DUMMYFUNCTION("""COMPUTED_VALUE"""),"")</f>
        <v/>
      </c>
      <c r="AN40" s="4" t="str">
        <f>IFERROR(__xludf.DUMMYFUNCTION("""COMPUTED_VALUE"""),"")</f>
        <v/>
      </c>
      <c r="AO40" s="4" t="str">
        <f>IFERROR(__xludf.DUMMYFUNCTION("""COMPUTED_VALUE"""),"")</f>
        <v/>
      </c>
      <c r="AP40" s="4" t="str">
        <f>IFERROR(__xludf.DUMMYFUNCTION("""COMPUTED_VALUE"""),"")</f>
        <v/>
      </c>
      <c r="AQ40" s="4" t="str">
        <f>IFERROR(__xludf.DUMMYFUNCTION("""COMPUTED_VALUE"""),"")</f>
        <v/>
      </c>
      <c r="AR40" s="4" t="str">
        <f>IFERROR(__xludf.DUMMYFUNCTION("""COMPUTED_VALUE"""),"")</f>
        <v/>
      </c>
      <c r="AS40" s="4" t="str">
        <f>IFERROR(__xludf.DUMMYFUNCTION("""COMPUTED_VALUE"""),"")</f>
        <v/>
      </c>
      <c r="AT40" s="4" t="str">
        <f>IFERROR(__xludf.DUMMYFUNCTION("""COMPUTED_VALUE"""),"")</f>
        <v/>
      </c>
    </row>
    <row r="41">
      <c r="A41" s="4" t="str">
        <f>IFERROR(__xludf.DUMMYFUNCTION("""COMPUTED_VALUE"""),"")</f>
        <v/>
      </c>
      <c r="B41" s="4" t="str">
        <f>IFERROR(__xludf.DUMMYFUNCTION("""COMPUTED_VALUE"""),"")</f>
        <v/>
      </c>
      <c r="C41" s="4" t="str">
        <f>IFERROR(__xludf.DUMMYFUNCTION("""COMPUTED_VALUE"""),"")</f>
        <v/>
      </c>
      <c r="D41" s="4" t="str">
        <f>IFERROR(__xludf.DUMMYFUNCTION("""COMPUTED_VALUE"""),"")</f>
        <v/>
      </c>
      <c r="E41" s="4" t="str">
        <f>IFERROR(__xludf.DUMMYFUNCTION("""COMPUTED_VALUE"""),"")</f>
        <v/>
      </c>
      <c r="F41" s="4" t="str">
        <f>IFERROR(__xludf.DUMMYFUNCTION("""COMPUTED_VALUE"""),"")</f>
        <v/>
      </c>
      <c r="G41" s="4" t="str">
        <f>IFERROR(__xludf.DUMMYFUNCTION("""COMPUTED_VALUE"""),"")</f>
        <v/>
      </c>
      <c r="H41" s="4" t="str">
        <f>IFERROR(__xludf.DUMMYFUNCTION("""COMPUTED_VALUE"""),"")</f>
        <v/>
      </c>
      <c r="I41" s="4" t="str">
        <f>IFERROR(__xludf.DUMMYFUNCTION("""COMPUTED_VALUE"""),"")</f>
        <v/>
      </c>
      <c r="J41" s="4" t="str">
        <f>IFERROR(__xludf.DUMMYFUNCTION("""COMPUTED_VALUE"""),"")</f>
        <v/>
      </c>
      <c r="K41" s="4" t="str">
        <f>IFERROR(__xludf.DUMMYFUNCTION("""COMPUTED_VALUE"""),"")</f>
        <v/>
      </c>
      <c r="L41" s="4" t="str">
        <f>IFERROR(__xludf.DUMMYFUNCTION("""COMPUTED_VALUE"""),"")</f>
        <v/>
      </c>
      <c r="M41" s="4" t="str">
        <f>IFERROR(__xludf.DUMMYFUNCTION("""COMPUTED_VALUE"""),"")</f>
        <v/>
      </c>
      <c r="N41" s="4" t="str">
        <f>IFERROR(__xludf.DUMMYFUNCTION("""COMPUTED_VALUE"""),"")</f>
        <v/>
      </c>
      <c r="O41" s="4" t="str">
        <f>IFERROR(__xludf.DUMMYFUNCTION("""COMPUTED_VALUE"""),"")</f>
        <v/>
      </c>
      <c r="P41" s="4" t="str">
        <f>IFERROR(__xludf.DUMMYFUNCTION("""COMPUTED_VALUE"""),"")</f>
        <v/>
      </c>
      <c r="Q41" s="4" t="str">
        <f>IFERROR(__xludf.DUMMYFUNCTION("""COMPUTED_VALUE"""),"")</f>
        <v/>
      </c>
      <c r="R41" s="4" t="str">
        <f>IFERROR(__xludf.DUMMYFUNCTION("""COMPUTED_VALUE"""),"")</f>
        <v/>
      </c>
      <c r="S41" s="4" t="str">
        <f>IFERROR(__xludf.DUMMYFUNCTION("""COMPUTED_VALUE"""),"")</f>
        <v/>
      </c>
      <c r="T41" s="4" t="str">
        <f>IFERROR(__xludf.DUMMYFUNCTION("""COMPUTED_VALUE"""),"")</f>
        <v/>
      </c>
      <c r="U41" s="4" t="str">
        <f>IFERROR(__xludf.DUMMYFUNCTION("""COMPUTED_VALUE"""),"")</f>
        <v/>
      </c>
      <c r="V41" s="4" t="str">
        <f>IFERROR(__xludf.DUMMYFUNCTION("""COMPUTED_VALUE"""),"")</f>
        <v/>
      </c>
      <c r="W41" s="4" t="str">
        <f>IFERROR(__xludf.DUMMYFUNCTION("""COMPUTED_VALUE"""),"")</f>
        <v/>
      </c>
      <c r="X41" s="4" t="str">
        <f>IFERROR(__xludf.DUMMYFUNCTION("""COMPUTED_VALUE"""),"")</f>
        <v/>
      </c>
      <c r="Y41" s="4" t="str">
        <f>IFERROR(__xludf.DUMMYFUNCTION("""COMPUTED_VALUE"""),"")</f>
        <v/>
      </c>
      <c r="Z41" s="4" t="str">
        <f>IFERROR(__xludf.DUMMYFUNCTION("""COMPUTED_VALUE"""),"")</f>
        <v/>
      </c>
      <c r="AA41" s="4" t="str">
        <f>IFERROR(__xludf.DUMMYFUNCTION("""COMPUTED_VALUE"""),"")</f>
        <v/>
      </c>
      <c r="AB41" s="4" t="str">
        <f>IFERROR(__xludf.DUMMYFUNCTION("""COMPUTED_VALUE"""),"")</f>
        <v/>
      </c>
      <c r="AC41" s="4" t="str">
        <f>IFERROR(__xludf.DUMMYFUNCTION("""COMPUTED_VALUE"""),"")</f>
        <v/>
      </c>
      <c r="AD41" s="4" t="str">
        <f>IFERROR(__xludf.DUMMYFUNCTION("""COMPUTED_VALUE"""),"")</f>
        <v/>
      </c>
      <c r="AE41" s="4" t="str">
        <f>IFERROR(__xludf.DUMMYFUNCTION("""COMPUTED_VALUE"""),"")</f>
        <v/>
      </c>
      <c r="AF41" s="4" t="str">
        <f>IFERROR(__xludf.DUMMYFUNCTION("""COMPUTED_VALUE"""),"")</f>
        <v/>
      </c>
      <c r="AG41" s="4" t="str">
        <f>IFERROR(__xludf.DUMMYFUNCTION("""COMPUTED_VALUE"""),"")</f>
        <v/>
      </c>
      <c r="AH41" s="4" t="str">
        <f>IFERROR(__xludf.DUMMYFUNCTION("""COMPUTED_VALUE"""),"")</f>
        <v/>
      </c>
      <c r="AI41" s="4" t="str">
        <f>IFERROR(__xludf.DUMMYFUNCTION("""COMPUTED_VALUE"""),"")</f>
        <v/>
      </c>
      <c r="AJ41" s="4" t="str">
        <f>IFERROR(__xludf.DUMMYFUNCTION("""COMPUTED_VALUE"""),"")</f>
        <v/>
      </c>
      <c r="AK41" s="4" t="str">
        <f>IFERROR(__xludf.DUMMYFUNCTION("""COMPUTED_VALUE"""),"")</f>
        <v/>
      </c>
      <c r="AL41" s="4" t="str">
        <f>IFERROR(__xludf.DUMMYFUNCTION("""COMPUTED_VALUE"""),"")</f>
        <v/>
      </c>
      <c r="AM41" s="4" t="str">
        <f>IFERROR(__xludf.DUMMYFUNCTION("""COMPUTED_VALUE"""),"")</f>
        <v/>
      </c>
      <c r="AN41" s="4" t="str">
        <f>IFERROR(__xludf.DUMMYFUNCTION("""COMPUTED_VALUE"""),"")</f>
        <v/>
      </c>
      <c r="AO41" s="4" t="str">
        <f>IFERROR(__xludf.DUMMYFUNCTION("""COMPUTED_VALUE"""),"")</f>
        <v/>
      </c>
      <c r="AP41" s="4" t="str">
        <f>IFERROR(__xludf.DUMMYFUNCTION("""COMPUTED_VALUE"""),"")</f>
        <v/>
      </c>
      <c r="AQ41" s="4" t="str">
        <f>IFERROR(__xludf.DUMMYFUNCTION("""COMPUTED_VALUE"""),"")</f>
        <v/>
      </c>
      <c r="AR41" s="4" t="str">
        <f>IFERROR(__xludf.DUMMYFUNCTION("""COMPUTED_VALUE"""),"")</f>
        <v/>
      </c>
      <c r="AS41" s="4" t="str">
        <f>IFERROR(__xludf.DUMMYFUNCTION("""COMPUTED_VALUE"""),"")</f>
        <v/>
      </c>
      <c r="AT41" s="4" t="str">
        <f>IFERROR(__xludf.DUMMYFUNCTION("""COMPUTED_VALUE"""),"")</f>
        <v/>
      </c>
    </row>
    <row r="42">
      <c r="A42" s="4" t="str">
        <f>IFERROR(__xludf.DUMMYFUNCTION("""COMPUTED_VALUE"""),"")</f>
        <v/>
      </c>
      <c r="B42" s="4" t="str">
        <f>IFERROR(__xludf.DUMMYFUNCTION("""COMPUTED_VALUE"""),"")</f>
        <v/>
      </c>
      <c r="C42" s="4" t="str">
        <f>IFERROR(__xludf.DUMMYFUNCTION("""COMPUTED_VALUE"""),"")</f>
        <v/>
      </c>
      <c r="D42" s="4" t="str">
        <f>IFERROR(__xludf.DUMMYFUNCTION("""COMPUTED_VALUE"""),"")</f>
        <v/>
      </c>
      <c r="E42" s="4" t="str">
        <f>IFERROR(__xludf.DUMMYFUNCTION("""COMPUTED_VALUE"""),"")</f>
        <v/>
      </c>
      <c r="F42" s="4" t="str">
        <f>IFERROR(__xludf.DUMMYFUNCTION("""COMPUTED_VALUE"""),"")</f>
        <v/>
      </c>
      <c r="G42" s="4" t="str">
        <f>IFERROR(__xludf.DUMMYFUNCTION("""COMPUTED_VALUE"""),"")</f>
        <v/>
      </c>
      <c r="H42" s="4" t="str">
        <f>IFERROR(__xludf.DUMMYFUNCTION("""COMPUTED_VALUE"""),"")</f>
        <v/>
      </c>
      <c r="I42" s="4" t="str">
        <f>IFERROR(__xludf.DUMMYFUNCTION("""COMPUTED_VALUE"""),"")</f>
        <v/>
      </c>
      <c r="J42" s="4" t="str">
        <f>IFERROR(__xludf.DUMMYFUNCTION("""COMPUTED_VALUE"""),"")</f>
        <v/>
      </c>
      <c r="K42" s="4" t="str">
        <f>IFERROR(__xludf.DUMMYFUNCTION("""COMPUTED_VALUE"""),"")</f>
        <v/>
      </c>
      <c r="L42" s="4" t="str">
        <f>IFERROR(__xludf.DUMMYFUNCTION("""COMPUTED_VALUE"""),"")</f>
        <v/>
      </c>
      <c r="M42" s="4" t="str">
        <f>IFERROR(__xludf.DUMMYFUNCTION("""COMPUTED_VALUE"""),"")</f>
        <v/>
      </c>
      <c r="N42" s="4" t="str">
        <f>IFERROR(__xludf.DUMMYFUNCTION("""COMPUTED_VALUE"""),"")</f>
        <v/>
      </c>
      <c r="O42" s="4" t="str">
        <f>IFERROR(__xludf.DUMMYFUNCTION("""COMPUTED_VALUE"""),"")</f>
        <v/>
      </c>
      <c r="P42" s="4" t="str">
        <f>IFERROR(__xludf.DUMMYFUNCTION("""COMPUTED_VALUE"""),"")</f>
        <v/>
      </c>
      <c r="Q42" s="4" t="str">
        <f>IFERROR(__xludf.DUMMYFUNCTION("""COMPUTED_VALUE"""),"")</f>
        <v/>
      </c>
      <c r="R42" s="4" t="str">
        <f>IFERROR(__xludf.DUMMYFUNCTION("""COMPUTED_VALUE"""),"")</f>
        <v/>
      </c>
      <c r="S42" s="4" t="str">
        <f>IFERROR(__xludf.DUMMYFUNCTION("""COMPUTED_VALUE"""),"")</f>
        <v/>
      </c>
      <c r="T42" s="4" t="str">
        <f>IFERROR(__xludf.DUMMYFUNCTION("""COMPUTED_VALUE"""),"")</f>
        <v/>
      </c>
      <c r="U42" s="4" t="str">
        <f>IFERROR(__xludf.DUMMYFUNCTION("""COMPUTED_VALUE"""),"")</f>
        <v/>
      </c>
      <c r="V42" s="4" t="str">
        <f>IFERROR(__xludf.DUMMYFUNCTION("""COMPUTED_VALUE"""),"")</f>
        <v/>
      </c>
      <c r="W42" s="4" t="str">
        <f>IFERROR(__xludf.DUMMYFUNCTION("""COMPUTED_VALUE"""),"")</f>
        <v/>
      </c>
      <c r="X42" s="4" t="str">
        <f>IFERROR(__xludf.DUMMYFUNCTION("""COMPUTED_VALUE"""),"")</f>
        <v/>
      </c>
      <c r="Y42" s="4" t="str">
        <f>IFERROR(__xludf.DUMMYFUNCTION("""COMPUTED_VALUE"""),"")</f>
        <v/>
      </c>
      <c r="Z42" s="4" t="str">
        <f>IFERROR(__xludf.DUMMYFUNCTION("""COMPUTED_VALUE"""),"")</f>
        <v/>
      </c>
      <c r="AA42" s="4" t="str">
        <f>IFERROR(__xludf.DUMMYFUNCTION("""COMPUTED_VALUE"""),"")</f>
        <v/>
      </c>
      <c r="AB42" s="4" t="str">
        <f>IFERROR(__xludf.DUMMYFUNCTION("""COMPUTED_VALUE"""),"")</f>
        <v/>
      </c>
      <c r="AC42" s="4" t="str">
        <f>IFERROR(__xludf.DUMMYFUNCTION("""COMPUTED_VALUE"""),"")</f>
        <v/>
      </c>
      <c r="AD42" s="4" t="str">
        <f>IFERROR(__xludf.DUMMYFUNCTION("""COMPUTED_VALUE"""),"")</f>
        <v/>
      </c>
      <c r="AE42" s="4" t="str">
        <f>IFERROR(__xludf.DUMMYFUNCTION("""COMPUTED_VALUE"""),"")</f>
        <v/>
      </c>
      <c r="AF42" s="4" t="str">
        <f>IFERROR(__xludf.DUMMYFUNCTION("""COMPUTED_VALUE"""),"")</f>
        <v/>
      </c>
      <c r="AG42" s="4" t="str">
        <f>IFERROR(__xludf.DUMMYFUNCTION("""COMPUTED_VALUE"""),"")</f>
        <v/>
      </c>
      <c r="AH42" s="4" t="str">
        <f>IFERROR(__xludf.DUMMYFUNCTION("""COMPUTED_VALUE"""),"")</f>
        <v/>
      </c>
      <c r="AI42" s="4" t="str">
        <f>IFERROR(__xludf.DUMMYFUNCTION("""COMPUTED_VALUE"""),"")</f>
        <v/>
      </c>
      <c r="AJ42" s="4" t="str">
        <f>IFERROR(__xludf.DUMMYFUNCTION("""COMPUTED_VALUE"""),"")</f>
        <v/>
      </c>
      <c r="AK42" s="4" t="str">
        <f>IFERROR(__xludf.DUMMYFUNCTION("""COMPUTED_VALUE"""),"")</f>
        <v/>
      </c>
      <c r="AL42" s="4" t="str">
        <f>IFERROR(__xludf.DUMMYFUNCTION("""COMPUTED_VALUE"""),"")</f>
        <v/>
      </c>
      <c r="AM42" s="4" t="str">
        <f>IFERROR(__xludf.DUMMYFUNCTION("""COMPUTED_VALUE"""),"")</f>
        <v/>
      </c>
      <c r="AN42" s="4" t="str">
        <f>IFERROR(__xludf.DUMMYFUNCTION("""COMPUTED_VALUE"""),"")</f>
        <v/>
      </c>
      <c r="AO42" s="4" t="str">
        <f>IFERROR(__xludf.DUMMYFUNCTION("""COMPUTED_VALUE"""),"")</f>
        <v/>
      </c>
      <c r="AP42" s="4" t="str">
        <f>IFERROR(__xludf.DUMMYFUNCTION("""COMPUTED_VALUE"""),"")</f>
        <v/>
      </c>
      <c r="AQ42" s="4" t="str">
        <f>IFERROR(__xludf.DUMMYFUNCTION("""COMPUTED_VALUE"""),"")</f>
        <v/>
      </c>
      <c r="AR42" s="4" t="str">
        <f>IFERROR(__xludf.DUMMYFUNCTION("""COMPUTED_VALUE"""),"")</f>
        <v/>
      </c>
      <c r="AS42" s="4" t="str">
        <f>IFERROR(__xludf.DUMMYFUNCTION("""COMPUTED_VALUE"""),"")</f>
        <v/>
      </c>
      <c r="AT42" s="4" t="str">
        <f>IFERROR(__xludf.DUMMYFUNCTION("""COMPUTED_VALUE"""),"")</f>
        <v/>
      </c>
    </row>
    <row r="43">
      <c r="A43" s="4" t="str">
        <f>IFERROR(__xludf.DUMMYFUNCTION("""COMPUTED_VALUE"""),"")</f>
        <v/>
      </c>
      <c r="B43" s="4" t="str">
        <f>IFERROR(__xludf.DUMMYFUNCTION("""COMPUTED_VALUE"""),"")</f>
        <v/>
      </c>
      <c r="C43" s="4" t="str">
        <f>IFERROR(__xludf.DUMMYFUNCTION("""COMPUTED_VALUE"""),"")</f>
        <v/>
      </c>
      <c r="D43" s="4" t="str">
        <f>IFERROR(__xludf.DUMMYFUNCTION("""COMPUTED_VALUE"""),"")</f>
        <v/>
      </c>
      <c r="E43" s="4" t="str">
        <f>IFERROR(__xludf.DUMMYFUNCTION("""COMPUTED_VALUE"""),"")</f>
        <v/>
      </c>
      <c r="F43" s="4" t="str">
        <f>IFERROR(__xludf.DUMMYFUNCTION("""COMPUTED_VALUE"""),"")</f>
        <v/>
      </c>
      <c r="G43" s="4" t="str">
        <f>IFERROR(__xludf.DUMMYFUNCTION("""COMPUTED_VALUE"""),"")</f>
        <v/>
      </c>
      <c r="H43" s="4" t="str">
        <f>IFERROR(__xludf.DUMMYFUNCTION("""COMPUTED_VALUE"""),"")</f>
        <v/>
      </c>
      <c r="I43" s="4" t="str">
        <f>IFERROR(__xludf.DUMMYFUNCTION("""COMPUTED_VALUE"""),"")</f>
        <v/>
      </c>
      <c r="J43" s="4" t="str">
        <f>IFERROR(__xludf.DUMMYFUNCTION("""COMPUTED_VALUE"""),"")</f>
        <v/>
      </c>
      <c r="K43" s="4" t="str">
        <f>IFERROR(__xludf.DUMMYFUNCTION("""COMPUTED_VALUE"""),"")</f>
        <v/>
      </c>
      <c r="L43" s="4" t="str">
        <f>IFERROR(__xludf.DUMMYFUNCTION("""COMPUTED_VALUE"""),"")</f>
        <v/>
      </c>
      <c r="M43" s="4" t="str">
        <f>IFERROR(__xludf.DUMMYFUNCTION("""COMPUTED_VALUE"""),"")</f>
        <v/>
      </c>
      <c r="N43" s="4" t="str">
        <f>IFERROR(__xludf.DUMMYFUNCTION("""COMPUTED_VALUE"""),"")</f>
        <v/>
      </c>
      <c r="O43" s="4" t="str">
        <f>IFERROR(__xludf.DUMMYFUNCTION("""COMPUTED_VALUE"""),"")</f>
        <v/>
      </c>
      <c r="P43" s="4" t="str">
        <f>IFERROR(__xludf.DUMMYFUNCTION("""COMPUTED_VALUE"""),"")</f>
        <v/>
      </c>
      <c r="Q43" s="4" t="str">
        <f>IFERROR(__xludf.DUMMYFUNCTION("""COMPUTED_VALUE"""),"")</f>
        <v/>
      </c>
      <c r="R43" s="4" t="str">
        <f>IFERROR(__xludf.DUMMYFUNCTION("""COMPUTED_VALUE"""),"")</f>
        <v/>
      </c>
      <c r="S43" s="4" t="str">
        <f>IFERROR(__xludf.DUMMYFUNCTION("""COMPUTED_VALUE"""),"")</f>
        <v/>
      </c>
      <c r="T43" s="4" t="str">
        <f>IFERROR(__xludf.DUMMYFUNCTION("""COMPUTED_VALUE"""),"")</f>
        <v/>
      </c>
      <c r="U43" s="4" t="str">
        <f>IFERROR(__xludf.DUMMYFUNCTION("""COMPUTED_VALUE"""),"")</f>
        <v/>
      </c>
      <c r="V43" s="4" t="str">
        <f>IFERROR(__xludf.DUMMYFUNCTION("""COMPUTED_VALUE"""),"")</f>
        <v/>
      </c>
      <c r="W43" s="4" t="str">
        <f>IFERROR(__xludf.DUMMYFUNCTION("""COMPUTED_VALUE"""),"")</f>
        <v/>
      </c>
      <c r="X43" s="4" t="str">
        <f>IFERROR(__xludf.DUMMYFUNCTION("""COMPUTED_VALUE"""),"")</f>
        <v/>
      </c>
      <c r="Y43" s="4" t="str">
        <f>IFERROR(__xludf.DUMMYFUNCTION("""COMPUTED_VALUE"""),"")</f>
        <v/>
      </c>
      <c r="Z43" s="4" t="str">
        <f>IFERROR(__xludf.DUMMYFUNCTION("""COMPUTED_VALUE"""),"")</f>
        <v/>
      </c>
      <c r="AA43" s="4" t="str">
        <f>IFERROR(__xludf.DUMMYFUNCTION("""COMPUTED_VALUE"""),"")</f>
        <v/>
      </c>
      <c r="AB43" s="4" t="str">
        <f>IFERROR(__xludf.DUMMYFUNCTION("""COMPUTED_VALUE"""),"")</f>
        <v/>
      </c>
      <c r="AC43" s="4" t="str">
        <f>IFERROR(__xludf.DUMMYFUNCTION("""COMPUTED_VALUE"""),"")</f>
        <v/>
      </c>
      <c r="AD43" s="4" t="str">
        <f>IFERROR(__xludf.DUMMYFUNCTION("""COMPUTED_VALUE"""),"")</f>
        <v/>
      </c>
      <c r="AE43" s="4" t="str">
        <f>IFERROR(__xludf.DUMMYFUNCTION("""COMPUTED_VALUE"""),"")</f>
        <v/>
      </c>
      <c r="AF43" s="4" t="str">
        <f>IFERROR(__xludf.DUMMYFUNCTION("""COMPUTED_VALUE"""),"")</f>
        <v/>
      </c>
      <c r="AG43" s="4" t="str">
        <f>IFERROR(__xludf.DUMMYFUNCTION("""COMPUTED_VALUE"""),"")</f>
        <v/>
      </c>
      <c r="AH43" s="4" t="str">
        <f>IFERROR(__xludf.DUMMYFUNCTION("""COMPUTED_VALUE"""),"")</f>
        <v/>
      </c>
      <c r="AI43" s="4" t="str">
        <f>IFERROR(__xludf.DUMMYFUNCTION("""COMPUTED_VALUE"""),"")</f>
        <v/>
      </c>
      <c r="AJ43" s="4" t="str">
        <f>IFERROR(__xludf.DUMMYFUNCTION("""COMPUTED_VALUE"""),"")</f>
        <v/>
      </c>
      <c r="AK43" s="4" t="str">
        <f>IFERROR(__xludf.DUMMYFUNCTION("""COMPUTED_VALUE"""),"")</f>
        <v/>
      </c>
      <c r="AL43" s="4" t="str">
        <f>IFERROR(__xludf.DUMMYFUNCTION("""COMPUTED_VALUE"""),"")</f>
        <v/>
      </c>
      <c r="AM43" s="4" t="str">
        <f>IFERROR(__xludf.DUMMYFUNCTION("""COMPUTED_VALUE"""),"")</f>
        <v/>
      </c>
      <c r="AN43" s="4" t="str">
        <f>IFERROR(__xludf.DUMMYFUNCTION("""COMPUTED_VALUE"""),"")</f>
        <v/>
      </c>
      <c r="AO43" s="4" t="str">
        <f>IFERROR(__xludf.DUMMYFUNCTION("""COMPUTED_VALUE"""),"")</f>
        <v/>
      </c>
      <c r="AP43" s="4" t="str">
        <f>IFERROR(__xludf.DUMMYFUNCTION("""COMPUTED_VALUE"""),"")</f>
        <v/>
      </c>
      <c r="AQ43" s="4" t="str">
        <f>IFERROR(__xludf.DUMMYFUNCTION("""COMPUTED_VALUE"""),"")</f>
        <v/>
      </c>
      <c r="AR43" s="4" t="str">
        <f>IFERROR(__xludf.DUMMYFUNCTION("""COMPUTED_VALUE"""),"")</f>
        <v/>
      </c>
      <c r="AS43" s="4" t="str">
        <f>IFERROR(__xludf.DUMMYFUNCTION("""COMPUTED_VALUE"""),"")</f>
        <v/>
      </c>
      <c r="AT43" s="4" t="str">
        <f>IFERROR(__xludf.DUMMYFUNCTION("""COMPUTED_VALUE"""),"")</f>
        <v/>
      </c>
    </row>
    <row r="44">
      <c r="A44" s="4" t="str">
        <f>IFERROR(__xludf.DUMMYFUNCTION("""COMPUTED_VALUE"""),"")</f>
        <v/>
      </c>
      <c r="B44" s="4" t="str">
        <f>IFERROR(__xludf.DUMMYFUNCTION("""COMPUTED_VALUE"""),"")</f>
        <v/>
      </c>
      <c r="C44" s="4" t="str">
        <f>IFERROR(__xludf.DUMMYFUNCTION("""COMPUTED_VALUE"""),"")</f>
        <v/>
      </c>
      <c r="D44" s="4" t="str">
        <f>IFERROR(__xludf.DUMMYFUNCTION("""COMPUTED_VALUE"""),"")</f>
        <v/>
      </c>
      <c r="E44" s="4" t="str">
        <f>IFERROR(__xludf.DUMMYFUNCTION("""COMPUTED_VALUE"""),"")</f>
        <v/>
      </c>
      <c r="F44" s="4" t="str">
        <f>IFERROR(__xludf.DUMMYFUNCTION("""COMPUTED_VALUE"""),"")</f>
        <v/>
      </c>
      <c r="G44" s="4" t="str">
        <f>IFERROR(__xludf.DUMMYFUNCTION("""COMPUTED_VALUE"""),"")</f>
        <v/>
      </c>
      <c r="H44" s="4" t="str">
        <f>IFERROR(__xludf.DUMMYFUNCTION("""COMPUTED_VALUE"""),"")</f>
        <v/>
      </c>
      <c r="I44" s="4" t="str">
        <f>IFERROR(__xludf.DUMMYFUNCTION("""COMPUTED_VALUE"""),"")</f>
        <v/>
      </c>
      <c r="J44" s="4" t="str">
        <f>IFERROR(__xludf.DUMMYFUNCTION("""COMPUTED_VALUE"""),"")</f>
        <v/>
      </c>
      <c r="K44" s="4" t="str">
        <f>IFERROR(__xludf.DUMMYFUNCTION("""COMPUTED_VALUE"""),"")</f>
        <v/>
      </c>
      <c r="L44" s="4" t="str">
        <f>IFERROR(__xludf.DUMMYFUNCTION("""COMPUTED_VALUE"""),"")</f>
        <v/>
      </c>
      <c r="M44" s="4" t="str">
        <f>IFERROR(__xludf.DUMMYFUNCTION("""COMPUTED_VALUE"""),"")</f>
        <v/>
      </c>
      <c r="N44" s="4" t="str">
        <f>IFERROR(__xludf.DUMMYFUNCTION("""COMPUTED_VALUE"""),"")</f>
        <v/>
      </c>
      <c r="O44" s="4" t="str">
        <f>IFERROR(__xludf.DUMMYFUNCTION("""COMPUTED_VALUE"""),"")</f>
        <v/>
      </c>
      <c r="P44" s="4" t="str">
        <f>IFERROR(__xludf.DUMMYFUNCTION("""COMPUTED_VALUE"""),"")</f>
        <v/>
      </c>
      <c r="Q44" s="4" t="str">
        <f>IFERROR(__xludf.DUMMYFUNCTION("""COMPUTED_VALUE"""),"")</f>
        <v/>
      </c>
      <c r="R44" s="4" t="str">
        <f>IFERROR(__xludf.DUMMYFUNCTION("""COMPUTED_VALUE"""),"")</f>
        <v/>
      </c>
      <c r="S44" s="4" t="str">
        <f>IFERROR(__xludf.DUMMYFUNCTION("""COMPUTED_VALUE"""),"")</f>
        <v/>
      </c>
      <c r="T44" s="4" t="str">
        <f>IFERROR(__xludf.DUMMYFUNCTION("""COMPUTED_VALUE"""),"")</f>
        <v/>
      </c>
      <c r="U44" s="4" t="str">
        <f>IFERROR(__xludf.DUMMYFUNCTION("""COMPUTED_VALUE"""),"")</f>
        <v/>
      </c>
      <c r="V44" s="4" t="str">
        <f>IFERROR(__xludf.DUMMYFUNCTION("""COMPUTED_VALUE"""),"")</f>
        <v/>
      </c>
      <c r="W44" s="4" t="str">
        <f>IFERROR(__xludf.DUMMYFUNCTION("""COMPUTED_VALUE"""),"")</f>
        <v/>
      </c>
      <c r="X44" s="4" t="str">
        <f>IFERROR(__xludf.DUMMYFUNCTION("""COMPUTED_VALUE"""),"")</f>
        <v/>
      </c>
      <c r="Y44" s="4" t="str">
        <f>IFERROR(__xludf.DUMMYFUNCTION("""COMPUTED_VALUE"""),"")</f>
        <v/>
      </c>
      <c r="Z44" s="4" t="str">
        <f>IFERROR(__xludf.DUMMYFUNCTION("""COMPUTED_VALUE"""),"")</f>
        <v/>
      </c>
      <c r="AA44" s="4" t="str">
        <f>IFERROR(__xludf.DUMMYFUNCTION("""COMPUTED_VALUE"""),"")</f>
        <v/>
      </c>
      <c r="AB44" s="4" t="str">
        <f>IFERROR(__xludf.DUMMYFUNCTION("""COMPUTED_VALUE"""),"")</f>
        <v/>
      </c>
      <c r="AC44" s="4" t="str">
        <f>IFERROR(__xludf.DUMMYFUNCTION("""COMPUTED_VALUE"""),"")</f>
        <v/>
      </c>
      <c r="AD44" s="4" t="str">
        <f>IFERROR(__xludf.DUMMYFUNCTION("""COMPUTED_VALUE"""),"")</f>
        <v/>
      </c>
      <c r="AE44" s="4" t="str">
        <f>IFERROR(__xludf.DUMMYFUNCTION("""COMPUTED_VALUE"""),"")</f>
        <v/>
      </c>
      <c r="AF44" s="4" t="str">
        <f>IFERROR(__xludf.DUMMYFUNCTION("""COMPUTED_VALUE"""),"")</f>
        <v/>
      </c>
      <c r="AG44" s="4" t="str">
        <f>IFERROR(__xludf.DUMMYFUNCTION("""COMPUTED_VALUE"""),"")</f>
        <v/>
      </c>
      <c r="AH44" s="4" t="str">
        <f>IFERROR(__xludf.DUMMYFUNCTION("""COMPUTED_VALUE"""),"")</f>
        <v/>
      </c>
      <c r="AI44" s="4" t="str">
        <f>IFERROR(__xludf.DUMMYFUNCTION("""COMPUTED_VALUE"""),"")</f>
        <v/>
      </c>
      <c r="AJ44" s="4" t="str">
        <f>IFERROR(__xludf.DUMMYFUNCTION("""COMPUTED_VALUE"""),"")</f>
        <v/>
      </c>
      <c r="AK44" s="4" t="str">
        <f>IFERROR(__xludf.DUMMYFUNCTION("""COMPUTED_VALUE"""),"")</f>
        <v/>
      </c>
      <c r="AL44" s="4" t="str">
        <f>IFERROR(__xludf.DUMMYFUNCTION("""COMPUTED_VALUE"""),"")</f>
        <v/>
      </c>
      <c r="AM44" s="4" t="str">
        <f>IFERROR(__xludf.DUMMYFUNCTION("""COMPUTED_VALUE"""),"")</f>
        <v/>
      </c>
      <c r="AN44" s="4" t="str">
        <f>IFERROR(__xludf.DUMMYFUNCTION("""COMPUTED_VALUE"""),"")</f>
        <v/>
      </c>
      <c r="AO44" s="4" t="str">
        <f>IFERROR(__xludf.DUMMYFUNCTION("""COMPUTED_VALUE"""),"")</f>
        <v/>
      </c>
      <c r="AP44" s="4" t="str">
        <f>IFERROR(__xludf.DUMMYFUNCTION("""COMPUTED_VALUE"""),"")</f>
        <v/>
      </c>
      <c r="AQ44" s="4" t="str">
        <f>IFERROR(__xludf.DUMMYFUNCTION("""COMPUTED_VALUE"""),"")</f>
        <v/>
      </c>
      <c r="AR44" s="4" t="str">
        <f>IFERROR(__xludf.DUMMYFUNCTION("""COMPUTED_VALUE"""),"")</f>
        <v/>
      </c>
      <c r="AS44" s="4" t="str">
        <f>IFERROR(__xludf.DUMMYFUNCTION("""COMPUTED_VALUE"""),"")</f>
        <v/>
      </c>
      <c r="AT44" s="4" t="str">
        <f>IFERROR(__xludf.DUMMYFUNCTION("""COMPUTED_VALUE"""),"")</f>
        <v/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1" max="1" width="1.29"/>
    <col customWidth="1" min="2" max="2" width="5.0"/>
    <col customWidth="1" min="3" max="7" width="8.71"/>
    <col customWidth="1" min="8" max="8" width="8.43"/>
    <col customWidth="1" min="9" max="9" width="9.14"/>
    <col customWidth="1" min="10" max="10" width="8.29"/>
    <col customWidth="1" min="11" max="11" width="8.0"/>
    <col customWidth="1" min="12" max="12" width="8.86"/>
    <col customWidth="1" min="13" max="13" width="8.71"/>
    <col customWidth="1" min="14" max="14" width="8.43"/>
    <col customWidth="1" min="15" max="18" width="8.71"/>
    <col customWidth="1" min="19" max="19" width="8.86"/>
    <col customWidth="1" min="20" max="20" width="8.0"/>
    <col customWidth="1" min="21" max="21" width="8.43"/>
    <col customWidth="1" min="22" max="22" width="21.57"/>
  </cols>
  <sheetData>
    <row r="1" ht="18.75" customHeight="1">
      <c r="C1" s="2"/>
      <c r="D1" s="2"/>
      <c r="E1" s="2"/>
      <c r="F1" s="2"/>
      <c r="G1" s="5" t="s">
        <v>92</v>
      </c>
      <c r="R1" s="2"/>
      <c r="S1" s="2"/>
      <c r="T1" s="2"/>
      <c r="U1" s="2"/>
      <c r="V1" s="7"/>
      <c r="W1" s="7"/>
      <c r="X1" s="7"/>
      <c r="Y1" s="7"/>
      <c r="Z1" s="7"/>
    </row>
    <row r="2" ht="18.75" customHeight="1">
      <c r="C2" s="9" t="s">
        <v>93</v>
      </c>
      <c r="D2" s="11"/>
      <c r="E2" s="11"/>
      <c r="F2" s="11"/>
      <c r="G2" s="11"/>
      <c r="H2" s="11"/>
      <c r="I2" s="11"/>
      <c r="J2" s="11"/>
      <c r="K2" s="12"/>
      <c r="L2" s="15" t="s">
        <v>9</v>
      </c>
      <c r="M2" s="17" t="s">
        <v>72</v>
      </c>
      <c r="N2" s="11"/>
      <c r="O2" s="11"/>
      <c r="P2" s="11"/>
      <c r="Q2" s="11"/>
      <c r="R2" s="11"/>
      <c r="S2" s="11"/>
      <c r="T2" s="11"/>
      <c r="U2" s="12"/>
      <c r="V2" s="7"/>
      <c r="W2" s="7"/>
      <c r="X2" s="7"/>
      <c r="Y2" s="7"/>
      <c r="Z2" s="7"/>
    </row>
    <row r="3">
      <c r="C3" s="18" t="s">
        <v>94</v>
      </c>
      <c r="D3" s="20" t="s">
        <v>95</v>
      </c>
      <c r="E3" s="22" t="s">
        <v>96</v>
      </c>
      <c r="F3" s="20"/>
      <c r="G3" s="22"/>
      <c r="H3" s="20"/>
      <c r="I3" s="23" t="s">
        <v>24</v>
      </c>
      <c r="J3" s="24" t="s">
        <v>27</v>
      </c>
      <c r="K3" s="23" t="s">
        <v>29</v>
      </c>
      <c r="L3" s="25"/>
      <c r="M3" s="26" t="s">
        <v>77</v>
      </c>
      <c r="N3" s="28" t="s">
        <v>78</v>
      </c>
      <c r="O3" s="26" t="s">
        <v>79</v>
      </c>
      <c r="P3" s="28"/>
      <c r="Q3" s="26"/>
      <c r="R3" s="30"/>
      <c r="S3" s="23" t="s">
        <v>24</v>
      </c>
      <c r="T3" s="24" t="s">
        <v>27</v>
      </c>
      <c r="U3" s="23" t="s">
        <v>29</v>
      </c>
      <c r="V3" s="7"/>
      <c r="W3" s="7"/>
      <c r="X3" s="7"/>
      <c r="Y3" s="7"/>
      <c r="Z3" s="7"/>
    </row>
    <row r="4">
      <c r="C4" s="31"/>
      <c r="D4" s="32"/>
      <c r="E4" s="32"/>
      <c r="F4" s="32"/>
      <c r="G4" s="32"/>
      <c r="H4" s="32"/>
      <c r="I4" s="32"/>
      <c r="J4" s="37">
        <f t="shared" ref="J4:J23" si="1">IF(AND(COUNTA(C4:H4)=0,I4&gt;0), "BON.ERR", IF(COUNTA(C4:H4)&lt;=1, IF(AND(OR(C4&lt;0, D4&lt;0, E4&lt;0, F4&lt;0, G4&lt;0, H4&lt;0), I4&gt;0), "BON.ERR", SUM(C4:I4)), "TEAM.ERR"))</f>
        <v>0</v>
      </c>
      <c r="K4" s="38">
        <f>if(sum(sum(C4:H4), M4:R4)&lt;-6, "NEG.ERR", if(and(sum(C4:I4)&gt;0, sum(M4:S4)&gt;0), "ERROR", sum(J4)))</f>
        <v>0</v>
      </c>
      <c r="L4" s="39">
        <v>1.0</v>
      </c>
      <c r="M4" s="37">
        <v>15.0</v>
      </c>
      <c r="N4" s="32"/>
      <c r="O4" s="32"/>
      <c r="P4" s="32"/>
      <c r="Q4" s="32"/>
      <c r="R4" s="32"/>
      <c r="S4" s="37">
        <v>10.0</v>
      </c>
      <c r="T4" s="37">
        <f t="shared" ref="T4:T23" si="2">IF(AND(COUNTA(M4:R4)=0,S4&gt;0), "BON.ERR", IF(COUNTA(M4:R4)&lt;=1, IF(AND(OR(M4&lt;0, N4&lt;0, O4&lt;0, P4&lt;0, Q4&lt;0, R4&lt;0), S4&gt;0), "BON.ERR", SUM(M4:S4)), "TEAM.ERR"))</f>
        <v>25</v>
      </c>
      <c r="U4" s="38">
        <f>if(sum(sum(C4:H4), M4:R4)&lt;-6, "NEG.ERR", if(and(sum(C4:H4)&gt;0, sum(M4:R4)&gt;0), "ERROR", sum(T4)))</f>
        <v>25</v>
      </c>
      <c r="V4" s="40"/>
      <c r="W4" s="41" t="str">
        <f>IFERROR(__xludf.DUMMYFUNCTION("filter(INSTRUCTIONS!A28:AJ39, INSTRUCTIONS!A28:AJ28=C2)"),"MCLEAN")</f>
        <v>MCLEAN</v>
      </c>
      <c r="X4" s="41" t="str">
        <f>IFERROR(__xludf.DUMMYFUNCTION("filter(INSTRUCTIONS!A28:AJ39, INSTRUCTIONS!A28:AJ28=M2)"),"RICHARD MONTGOMERY A")</f>
        <v>RICHARD MONTGOMERY A</v>
      </c>
      <c r="Y4" s="41"/>
      <c r="Z4" s="40"/>
      <c r="AA4" s="40"/>
    </row>
    <row r="5">
      <c r="C5" s="31"/>
      <c r="D5" s="37">
        <v>15.0</v>
      </c>
      <c r="E5" s="32"/>
      <c r="F5" s="32"/>
      <c r="G5" s="32"/>
      <c r="H5" s="32"/>
      <c r="I5" s="37">
        <v>30.0</v>
      </c>
      <c r="J5" s="37">
        <f t="shared" si="1"/>
        <v>45</v>
      </c>
      <c r="K5" s="38">
        <f t="shared" ref="K5:K27" si="3">if(sum(sum(C5:H5), M5:R5)&lt;-6, "NEG.ERR", if(and(sum(C5:I5)&gt;0, sum(M5:S5)&gt;0), "ERROR", sum(J5,K4)))</f>
        <v>45</v>
      </c>
      <c r="L5" s="39">
        <v>2.0</v>
      </c>
      <c r="M5" s="32"/>
      <c r="N5" s="32"/>
      <c r="O5" s="32"/>
      <c r="P5" s="32"/>
      <c r="Q5" s="42"/>
      <c r="R5" s="42"/>
      <c r="S5" s="32"/>
      <c r="T5" s="37">
        <f t="shared" si="2"/>
        <v>0</v>
      </c>
      <c r="U5" s="38">
        <f t="shared" ref="U5:U27" si="4">if(sum(sum(C5:H5), M5:R5)&lt;-6, "NEG.ERR", if(and(sum(C5:H5)&gt;0, sum(M5:R5)&gt;0), "ERROR", sum(T5,U4)))</f>
        <v>25</v>
      </c>
      <c r="V5" s="40"/>
      <c r="W5" s="41" t="str">
        <f>IFERROR(__xludf.DUMMYFUNCTION("""COMPUTED_VALUE"""),"Sam Asimos")</f>
        <v>Sam Asimos</v>
      </c>
      <c r="X5" s="41" t="str">
        <f>IFERROR(__xludf.DUMMYFUNCTION("""COMPUTED_VALUE"""),"Gus C")</f>
        <v>Gus C</v>
      </c>
      <c r="Y5" s="41"/>
      <c r="Z5" s="40"/>
      <c r="AA5" s="40"/>
    </row>
    <row r="6">
      <c r="C6" s="31"/>
      <c r="D6" s="38">
        <v>15.0</v>
      </c>
      <c r="E6" s="42"/>
      <c r="F6" s="32"/>
      <c r="G6" s="42"/>
      <c r="H6" s="42"/>
      <c r="I6" s="37">
        <v>30.0</v>
      </c>
      <c r="J6" s="37">
        <f t="shared" si="1"/>
        <v>45</v>
      </c>
      <c r="K6" s="38">
        <f t="shared" si="3"/>
        <v>90</v>
      </c>
      <c r="L6" s="39">
        <v>3.0</v>
      </c>
      <c r="M6" s="42"/>
      <c r="N6" s="42"/>
      <c r="O6" s="32"/>
      <c r="P6" s="32"/>
      <c r="Q6" s="32"/>
      <c r="R6" s="42"/>
      <c r="S6" s="32"/>
      <c r="T6" s="37">
        <f t="shared" si="2"/>
        <v>0</v>
      </c>
      <c r="U6" s="38">
        <f t="shared" si="4"/>
        <v>25</v>
      </c>
      <c r="V6" s="40"/>
      <c r="W6" s="41" t="str">
        <f>IFERROR(__xludf.DUMMYFUNCTION("""COMPUTED_VALUE"""),"Jackson Chadwick")</f>
        <v>Jackson Chadwick</v>
      </c>
      <c r="X6" s="41" t="str">
        <f>IFERROR(__xludf.DUMMYFUNCTION("""COMPUTED_VALUE"""),"Aaron O.")</f>
        <v>Aaron O.</v>
      </c>
      <c r="Y6" s="41"/>
      <c r="Z6" s="40"/>
      <c r="AA6" s="40"/>
    </row>
    <row r="7">
      <c r="C7" s="31"/>
      <c r="D7" s="42"/>
      <c r="E7" s="42"/>
      <c r="F7" s="42"/>
      <c r="G7" s="42"/>
      <c r="H7" s="32"/>
      <c r="I7" s="32"/>
      <c r="J7" s="37">
        <f t="shared" si="1"/>
        <v>0</v>
      </c>
      <c r="K7" s="38">
        <f t="shared" si="3"/>
        <v>90</v>
      </c>
      <c r="L7" s="39">
        <v>4.0</v>
      </c>
      <c r="M7" s="42"/>
      <c r="N7" s="38">
        <v>15.0</v>
      </c>
      <c r="O7" s="42"/>
      <c r="P7" s="42"/>
      <c r="Q7" s="42"/>
      <c r="R7" s="42"/>
      <c r="S7" s="38">
        <v>30.0</v>
      </c>
      <c r="T7" s="37">
        <f t="shared" si="2"/>
        <v>45</v>
      </c>
      <c r="U7" s="38">
        <f t="shared" si="4"/>
        <v>70</v>
      </c>
      <c r="V7" s="40"/>
      <c r="W7" s="41" t="str">
        <f>IFERROR(__xludf.DUMMYFUNCTION("""COMPUTED_VALUE"""),"Praveen Vinayak")</f>
        <v>Praveen Vinayak</v>
      </c>
      <c r="X7" s="41" t="str">
        <f>IFERROR(__xludf.DUMMYFUNCTION("""COMPUTED_VALUE"""),"Corrigan P.")</f>
        <v>Corrigan P.</v>
      </c>
      <c r="Y7" s="41"/>
      <c r="Z7" s="40"/>
      <c r="AA7" s="40"/>
    </row>
    <row r="8">
      <c r="C8" s="31"/>
      <c r="D8" s="37">
        <v>10.0</v>
      </c>
      <c r="E8" s="32"/>
      <c r="F8" s="32"/>
      <c r="G8" s="42"/>
      <c r="H8" s="42"/>
      <c r="I8" s="37">
        <v>10.0</v>
      </c>
      <c r="J8" s="37">
        <f t="shared" si="1"/>
        <v>20</v>
      </c>
      <c r="K8" s="38">
        <f t="shared" si="3"/>
        <v>110</v>
      </c>
      <c r="L8" s="39">
        <v>5.0</v>
      </c>
      <c r="M8" s="32"/>
      <c r="N8" s="42"/>
      <c r="O8" s="42"/>
      <c r="P8" s="42"/>
      <c r="Q8" s="32"/>
      <c r="R8" s="42"/>
      <c r="S8" s="32"/>
      <c r="T8" s="37">
        <f t="shared" si="2"/>
        <v>0</v>
      </c>
      <c r="U8" s="38">
        <f t="shared" si="4"/>
        <v>70</v>
      </c>
      <c r="V8" s="40"/>
      <c r="W8" s="41" t="str">
        <f>IFERROR(__xludf.DUMMYFUNCTION("""COMPUTED_VALUE"""),"")</f>
        <v/>
      </c>
      <c r="X8" s="41" t="str">
        <f>IFERROR(__xludf.DUMMYFUNCTION("""COMPUTED_VALUE"""),"")</f>
        <v/>
      </c>
      <c r="Y8" s="41"/>
      <c r="Z8" s="40"/>
      <c r="AA8" s="40"/>
    </row>
    <row r="9">
      <c r="C9" s="45">
        <v>10.0</v>
      </c>
      <c r="D9" s="32"/>
      <c r="E9" s="32"/>
      <c r="F9" s="32"/>
      <c r="G9" s="32"/>
      <c r="H9" s="42"/>
      <c r="I9" s="37">
        <v>20.0</v>
      </c>
      <c r="J9" s="37">
        <f t="shared" si="1"/>
        <v>30</v>
      </c>
      <c r="K9" s="38">
        <f t="shared" si="3"/>
        <v>140</v>
      </c>
      <c r="L9" s="39">
        <v>6.0</v>
      </c>
      <c r="M9" s="42"/>
      <c r="N9" s="42"/>
      <c r="O9" s="42"/>
      <c r="P9" s="32"/>
      <c r="Q9" s="42"/>
      <c r="R9" s="42"/>
      <c r="S9" s="42"/>
      <c r="T9" s="37">
        <f t="shared" si="2"/>
        <v>0</v>
      </c>
      <c r="U9" s="38">
        <f t="shared" si="4"/>
        <v>70</v>
      </c>
      <c r="V9" s="40"/>
      <c r="W9" s="41" t="str">
        <f>IFERROR(__xludf.DUMMYFUNCTION("""COMPUTED_VALUE"""),"")</f>
        <v/>
      </c>
      <c r="X9" s="41" t="str">
        <f>IFERROR(__xludf.DUMMYFUNCTION("""COMPUTED_VALUE"""),"")</f>
        <v/>
      </c>
      <c r="Y9" s="41"/>
      <c r="Z9" s="40"/>
      <c r="AA9" s="40"/>
    </row>
    <row r="10">
      <c r="C10" s="44"/>
      <c r="D10" s="32"/>
      <c r="E10" s="38">
        <v>10.0</v>
      </c>
      <c r="F10" s="32"/>
      <c r="G10" s="42"/>
      <c r="H10" s="42"/>
      <c r="I10" s="37">
        <v>20.0</v>
      </c>
      <c r="J10" s="37">
        <f t="shared" si="1"/>
        <v>30</v>
      </c>
      <c r="K10" s="38">
        <f t="shared" si="3"/>
        <v>170</v>
      </c>
      <c r="L10" s="39">
        <v>7.0</v>
      </c>
      <c r="M10" s="42"/>
      <c r="N10" s="42"/>
      <c r="O10" s="32"/>
      <c r="P10" s="42"/>
      <c r="Q10" s="42"/>
      <c r="R10" s="42"/>
      <c r="S10" s="32"/>
      <c r="T10" s="37">
        <f t="shared" si="2"/>
        <v>0</v>
      </c>
      <c r="U10" s="38">
        <f t="shared" si="4"/>
        <v>70</v>
      </c>
      <c r="V10" s="40"/>
      <c r="W10" s="41" t="str">
        <f>IFERROR(__xludf.DUMMYFUNCTION("""COMPUTED_VALUE"""),"")</f>
        <v/>
      </c>
      <c r="X10" s="41" t="str">
        <f>IFERROR(__xludf.DUMMYFUNCTION("""COMPUTED_VALUE"""),"")</f>
        <v/>
      </c>
      <c r="Y10" s="41"/>
      <c r="Z10" s="40"/>
      <c r="AA10" s="40"/>
    </row>
    <row r="11">
      <c r="C11" s="44"/>
      <c r="D11" s="32"/>
      <c r="E11" s="42"/>
      <c r="F11" s="42"/>
      <c r="G11" s="42"/>
      <c r="H11" s="42"/>
      <c r="I11" s="32"/>
      <c r="J11" s="37">
        <f t="shared" si="1"/>
        <v>0</v>
      </c>
      <c r="K11" s="38">
        <f t="shared" si="3"/>
        <v>170</v>
      </c>
      <c r="L11" s="39">
        <v>8.0</v>
      </c>
      <c r="M11" s="42"/>
      <c r="N11" s="38">
        <v>10.0</v>
      </c>
      <c r="O11" s="42"/>
      <c r="P11" s="42"/>
      <c r="Q11" s="42"/>
      <c r="R11" s="42"/>
      <c r="S11" s="38">
        <v>20.0</v>
      </c>
      <c r="T11" s="37">
        <f t="shared" si="2"/>
        <v>30</v>
      </c>
      <c r="U11" s="38">
        <f t="shared" si="4"/>
        <v>100</v>
      </c>
      <c r="V11" s="40"/>
      <c r="W11" s="41" t="str">
        <f>IFERROR(__xludf.DUMMYFUNCTION("""COMPUTED_VALUE"""),"")</f>
        <v/>
      </c>
      <c r="X11" s="41" t="str">
        <f>IFERROR(__xludf.DUMMYFUNCTION("""COMPUTED_VALUE"""),"")</f>
        <v/>
      </c>
      <c r="Y11" s="41"/>
      <c r="Z11" s="40"/>
      <c r="AA11" s="40"/>
    </row>
    <row r="12">
      <c r="C12" s="44"/>
      <c r="D12" s="32"/>
      <c r="E12" s="42"/>
      <c r="F12" s="42"/>
      <c r="G12" s="42"/>
      <c r="H12" s="42"/>
      <c r="I12" s="32"/>
      <c r="J12" s="37">
        <f t="shared" si="1"/>
        <v>0</v>
      </c>
      <c r="K12" s="38">
        <f t="shared" si="3"/>
        <v>170</v>
      </c>
      <c r="L12" s="39">
        <v>9.0</v>
      </c>
      <c r="M12" s="38">
        <v>10.0</v>
      </c>
      <c r="N12" s="32"/>
      <c r="O12" s="42"/>
      <c r="P12" s="42"/>
      <c r="Q12" s="42"/>
      <c r="R12" s="42"/>
      <c r="S12" s="37">
        <v>20.0</v>
      </c>
      <c r="T12" s="37">
        <f t="shared" si="2"/>
        <v>30</v>
      </c>
      <c r="U12" s="38">
        <f t="shared" si="4"/>
        <v>130</v>
      </c>
      <c r="V12" s="40"/>
      <c r="W12" s="41" t="str">
        <f>IFERROR(__xludf.DUMMYFUNCTION("""COMPUTED_VALUE"""),"")</f>
        <v/>
      </c>
      <c r="X12" s="41" t="str">
        <f>IFERROR(__xludf.DUMMYFUNCTION("""COMPUTED_VALUE"""),"")</f>
        <v/>
      </c>
      <c r="Y12" s="41"/>
      <c r="Z12" s="40"/>
      <c r="AA12" s="40"/>
    </row>
    <row r="13">
      <c r="C13" s="44"/>
      <c r="D13" s="32"/>
      <c r="E13" s="32"/>
      <c r="F13" s="42"/>
      <c r="G13" s="42"/>
      <c r="H13" s="42"/>
      <c r="I13" s="32"/>
      <c r="J13" s="37">
        <f t="shared" si="1"/>
        <v>0</v>
      </c>
      <c r="K13" s="38">
        <f t="shared" si="3"/>
        <v>170</v>
      </c>
      <c r="L13" s="39">
        <v>10.0</v>
      </c>
      <c r="M13" s="38">
        <v>10.0</v>
      </c>
      <c r="N13" s="42"/>
      <c r="O13" s="32"/>
      <c r="P13" s="42"/>
      <c r="Q13" s="42"/>
      <c r="R13" s="42"/>
      <c r="S13" s="37">
        <v>10.0</v>
      </c>
      <c r="T13" s="37">
        <f t="shared" si="2"/>
        <v>20</v>
      </c>
      <c r="U13" s="38">
        <f t="shared" si="4"/>
        <v>150</v>
      </c>
      <c r="V13" s="40"/>
      <c r="W13" s="40" t="str">
        <f>IFERROR(__xludf.DUMMYFUNCTION("""COMPUTED_VALUE"""),"")</f>
        <v/>
      </c>
      <c r="X13" s="40" t="str">
        <f>IFERROR(__xludf.DUMMYFUNCTION("""COMPUTED_VALUE"""),"")</f>
        <v/>
      </c>
      <c r="Y13" s="40"/>
      <c r="Z13" s="40"/>
      <c r="AA13" s="40"/>
    </row>
    <row r="14">
      <c r="C14" s="31"/>
      <c r="D14" s="32"/>
      <c r="E14" s="42"/>
      <c r="F14" s="42"/>
      <c r="G14" s="42"/>
      <c r="H14" s="42"/>
      <c r="I14" s="32"/>
      <c r="J14" s="37">
        <f t="shared" si="1"/>
        <v>0</v>
      </c>
      <c r="K14" s="38">
        <f t="shared" si="3"/>
        <v>170</v>
      </c>
      <c r="L14" s="39">
        <v>11.0</v>
      </c>
      <c r="M14" s="37">
        <v>15.0</v>
      </c>
      <c r="N14" s="42"/>
      <c r="O14" s="32"/>
      <c r="P14" s="42"/>
      <c r="Q14" s="42"/>
      <c r="R14" s="42"/>
      <c r="S14" s="37">
        <v>10.0</v>
      </c>
      <c r="T14" s="37">
        <f t="shared" si="2"/>
        <v>25</v>
      </c>
      <c r="U14" s="38">
        <f t="shared" si="4"/>
        <v>175</v>
      </c>
      <c r="V14" s="46"/>
      <c r="W14" s="46" t="str">
        <f>IFERROR(__xludf.DUMMYFUNCTION("""COMPUTED_VALUE"""),"")</f>
        <v/>
      </c>
      <c r="X14" s="46" t="str">
        <f>IFERROR(__xludf.DUMMYFUNCTION("""COMPUTED_VALUE"""),"")</f>
        <v/>
      </c>
      <c r="Y14" s="46"/>
      <c r="Z14" s="46"/>
      <c r="AA14" s="46"/>
    </row>
    <row r="15">
      <c r="C15" s="44"/>
      <c r="D15" s="38">
        <v>10.0</v>
      </c>
      <c r="E15" s="42"/>
      <c r="F15" s="32"/>
      <c r="G15" s="42"/>
      <c r="H15" s="42"/>
      <c r="I15" s="37">
        <v>10.0</v>
      </c>
      <c r="J15" s="37">
        <f t="shared" si="1"/>
        <v>20</v>
      </c>
      <c r="K15" s="38">
        <f t="shared" si="3"/>
        <v>190</v>
      </c>
      <c r="L15" s="39">
        <v>12.0</v>
      </c>
      <c r="M15" s="38">
        <v>-5.0</v>
      </c>
      <c r="N15" s="32"/>
      <c r="O15" s="42"/>
      <c r="P15" s="42"/>
      <c r="Q15" s="42"/>
      <c r="R15" s="42"/>
      <c r="S15" s="42"/>
      <c r="T15" s="37">
        <f t="shared" si="2"/>
        <v>-5</v>
      </c>
      <c r="U15" s="38">
        <f t="shared" si="4"/>
        <v>170</v>
      </c>
      <c r="V15" s="46"/>
      <c r="W15" s="46" t="str">
        <f>IFERROR(__xludf.DUMMYFUNCTION("""COMPUTED_VALUE"""),"")</f>
        <v/>
      </c>
      <c r="X15" s="46" t="str">
        <f>IFERROR(__xludf.DUMMYFUNCTION("""COMPUTED_VALUE"""),"")</f>
        <v/>
      </c>
      <c r="Y15" s="46"/>
      <c r="Z15" s="46"/>
      <c r="AA15" s="46"/>
    </row>
    <row r="16">
      <c r="C16" s="31"/>
      <c r="D16" s="38">
        <v>15.0</v>
      </c>
      <c r="E16" s="42"/>
      <c r="F16" s="42"/>
      <c r="G16" s="42"/>
      <c r="H16" s="32"/>
      <c r="I16" s="37">
        <v>20.0</v>
      </c>
      <c r="J16" s="37">
        <f t="shared" si="1"/>
        <v>35</v>
      </c>
      <c r="K16" s="38">
        <f t="shared" si="3"/>
        <v>225</v>
      </c>
      <c r="L16" s="39">
        <v>13.0</v>
      </c>
      <c r="M16" s="32"/>
      <c r="N16" s="42"/>
      <c r="O16" s="42"/>
      <c r="P16" s="42"/>
      <c r="Q16" s="42"/>
      <c r="R16" s="42"/>
      <c r="S16" s="32"/>
      <c r="T16" s="37">
        <f t="shared" si="2"/>
        <v>0</v>
      </c>
      <c r="U16" s="38">
        <f t="shared" si="4"/>
        <v>170</v>
      </c>
      <c r="V16" s="46"/>
      <c r="W16" s="46"/>
      <c r="X16" s="46"/>
      <c r="Y16" s="46"/>
      <c r="Z16" s="46"/>
      <c r="AA16" s="46"/>
    </row>
    <row r="17">
      <c r="C17" s="31"/>
      <c r="D17" s="38">
        <v>-5.0</v>
      </c>
      <c r="E17" s="42"/>
      <c r="F17" s="42"/>
      <c r="G17" s="42"/>
      <c r="H17" s="42"/>
      <c r="I17" s="32"/>
      <c r="J17" s="37">
        <f t="shared" si="1"/>
        <v>-5</v>
      </c>
      <c r="K17" s="38">
        <f t="shared" si="3"/>
        <v>220</v>
      </c>
      <c r="L17" s="39">
        <v>14.0</v>
      </c>
      <c r="M17" s="37">
        <v>10.0</v>
      </c>
      <c r="N17" s="42"/>
      <c r="O17" s="32"/>
      <c r="P17" s="42"/>
      <c r="Q17" s="42"/>
      <c r="R17" s="42"/>
      <c r="S17" s="37">
        <v>30.0</v>
      </c>
      <c r="T17" s="37">
        <f t="shared" si="2"/>
        <v>40</v>
      </c>
      <c r="U17" s="38">
        <f t="shared" si="4"/>
        <v>210</v>
      </c>
      <c r="V17" s="40"/>
      <c r="W17" s="40"/>
      <c r="X17" s="40"/>
      <c r="Y17" s="40"/>
      <c r="Z17" s="46"/>
      <c r="AA17" s="46"/>
    </row>
    <row r="18">
      <c r="C18" s="44"/>
      <c r="D18" s="38">
        <v>10.0</v>
      </c>
      <c r="E18" s="42"/>
      <c r="F18" s="42"/>
      <c r="G18" s="42"/>
      <c r="H18" s="42"/>
      <c r="I18" s="37">
        <v>0.0</v>
      </c>
      <c r="J18" s="37">
        <f t="shared" si="1"/>
        <v>10</v>
      </c>
      <c r="K18" s="38">
        <f t="shared" si="3"/>
        <v>230</v>
      </c>
      <c r="L18" s="39">
        <v>15.0</v>
      </c>
      <c r="M18" s="32"/>
      <c r="N18" s="42"/>
      <c r="O18" s="42"/>
      <c r="P18" s="42"/>
      <c r="Q18" s="42"/>
      <c r="R18" s="42"/>
      <c r="S18" s="32"/>
      <c r="T18" s="37">
        <f t="shared" si="2"/>
        <v>0</v>
      </c>
      <c r="U18" s="38">
        <f t="shared" si="4"/>
        <v>210</v>
      </c>
      <c r="V18" s="40" t="str">
        <f>IFERROR(__xludf.DUMMYFUNCTION("IF(NOT(EQ(C38, """")), SPLIT(C38, "";""), """")"),"")</f>
        <v/>
      </c>
      <c r="W18" s="47"/>
      <c r="X18" s="40"/>
      <c r="Y18" s="40"/>
      <c r="Z18" s="46"/>
      <c r="AA18" s="46"/>
    </row>
    <row r="19">
      <c r="C19" s="44"/>
      <c r="D19" s="38">
        <v>15.0</v>
      </c>
      <c r="E19" s="42"/>
      <c r="F19" s="42"/>
      <c r="G19" s="42"/>
      <c r="H19" s="42"/>
      <c r="I19" s="37">
        <v>30.0</v>
      </c>
      <c r="J19" s="37">
        <f t="shared" si="1"/>
        <v>45</v>
      </c>
      <c r="K19" s="38">
        <f t="shared" si="3"/>
        <v>275</v>
      </c>
      <c r="L19" s="39">
        <v>16.0</v>
      </c>
      <c r="M19" s="32"/>
      <c r="N19" s="42"/>
      <c r="O19" s="42"/>
      <c r="P19" s="42"/>
      <c r="Q19" s="42"/>
      <c r="R19" s="42"/>
      <c r="S19" s="32"/>
      <c r="T19" s="37">
        <f t="shared" si="2"/>
        <v>0</v>
      </c>
      <c r="U19" s="38">
        <f t="shared" si="4"/>
        <v>210</v>
      </c>
      <c r="V19" s="40" t="str">
        <f t="shared" ref="V19:Y19" si="5">TRIM(V18)</f>
        <v/>
      </c>
      <c r="W19" s="40" t="str">
        <f t="shared" si="5"/>
        <v/>
      </c>
      <c r="X19" s="40" t="str">
        <f t="shared" si="5"/>
        <v/>
      </c>
      <c r="Y19" s="40" t="str">
        <f t="shared" si="5"/>
        <v/>
      </c>
      <c r="Z19" s="46"/>
      <c r="AA19" s="46"/>
    </row>
    <row r="20">
      <c r="C20" s="43">
        <v>10.0</v>
      </c>
      <c r="D20" s="42"/>
      <c r="E20" s="42"/>
      <c r="F20" s="42"/>
      <c r="G20" s="42"/>
      <c r="H20" s="42"/>
      <c r="I20" s="37">
        <v>10.0</v>
      </c>
      <c r="J20" s="37">
        <f t="shared" si="1"/>
        <v>20</v>
      </c>
      <c r="K20" s="38">
        <f t="shared" si="3"/>
        <v>295</v>
      </c>
      <c r="L20" s="39">
        <v>17.0</v>
      </c>
      <c r="M20" s="32"/>
      <c r="N20" s="42"/>
      <c r="O20" s="42"/>
      <c r="P20" s="42"/>
      <c r="Q20" s="42"/>
      <c r="R20" s="42"/>
      <c r="S20" s="32"/>
      <c r="T20" s="37">
        <f t="shared" si="2"/>
        <v>0</v>
      </c>
      <c r="U20" s="38">
        <f t="shared" si="4"/>
        <v>210</v>
      </c>
      <c r="V20" s="40" t="b">
        <f t="shared" ref="V20:Y20" si="6">EQ(V19,"")</f>
        <v>1</v>
      </c>
      <c r="W20" s="40" t="b">
        <f t="shared" si="6"/>
        <v>1</v>
      </c>
      <c r="X20" s="40" t="b">
        <f t="shared" si="6"/>
        <v>1</v>
      </c>
      <c r="Y20" s="40" t="b">
        <f t="shared" si="6"/>
        <v>1</v>
      </c>
      <c r="Z20" s="46"/>
      <c r="AA20" s="46"/>
    </row>
    <row r="21">
      <c r="C21" s="44"/>
      <c r="D21" s="42"/>
      <c r="E21" s="42"/>
      <c r="F21" s="42"/>
      <c r="G21" s="42"/>
      <c r="H21" s="42"/>
      <c r="I21" s="32"/>
      <c r="J21" s="37">
        <f t="shared" si="1"/>
        <v>0</v>
      </c>
      <c r="K21" s="38">
        <f t="shared" si="3"/>
        <v>295</v>
      </c>
      <c r="L21" s="39">
        <v>18.0</v>
      </c>
      <c r="M21" s="38">
        <v>15.0</v>
      </c>
      <c r="N21" s="32"/>
      <c r="O21" s="42"/>
      <c r="P21" s="42"/>
      <c r="Q21" s="42"/>
      <c r="R21" s="42"/>
      <c r="S21" s="37">
        <v>10.0</v>
      </c>
      <c r="T21" s="37">
        <f t="shared" si="2"/>
        <v>25</v>
      </c>
      <c r="U21" s="38">
        <f t="shared" si="4"/>
        <v>235</v>
      </c>
      <c r="V21" s="57" t="b">
        <f>EQ(UPPER(C2), LEFT(UPPER(V19), LEN(C2)))</f>
        <v>0</v>
      </c>
      <c r="W21" s="57" t="b">
        <f>EQ(UPPER(C2), LEFT(UPPER(W19), LEN(C2)))</f>
        <v>0</v>
      </c>
      <c r="X21" s="57" t="b">
        <f>EQ(UPPER(C2), LEFT(UPPER(X19), LEN(C2)))</f>
        <v>0</v>
      </c>
      <c r="Y21" s="57" t="b">
        <f>EQ(UPPER(C2), LEFT(UPPER(Y19), LEN(C2)))</f>
        <v>0</v>
      </c>
      <c r="Z21" s="46"/>
      <c r="AA21" s="46"/>
    </row>
    <row r="22">
      <c r="C22" s="45">
        <v>10.0</v>
      </c>
      <c r="D22" s="42"/>
      <c r="E22" s="42"/>
      <c r="F22" s="42"/>
      <c r="G22" s="42"/>
      <c r="H22" s="42"/>
      <c r="I22" s="38">
        <v>20.0</v>
      </c>
      <c r="J22" s="37">
        <f t="shared" si="1"/>
        <v>30</v>
      </c>
      <c r="K22" s="38">
        <f t="shared" si="3"/>
        <v>325</v>
      </c>
      <c r="L22" s="39">
        <v>19.0</v>
      </c>
      <c r="M22" s="42"/>
      <c r="N22" s="42"/>
      <c r="O22" s="32"/>
      <c r="P22" s="42"/>
      <c r="Q22" s="42"/>
      <c r="R22" s="42"/>
      <c r="S22" s="32"/>
      <c r="T22" s="37">
        <f t="shared" si="2"/>
        <v>0</v>
      </c>
      <c r="U22" s="38">
        <f t="shared" si="4"/>
        <v>235</v>
      </c>
      <c r="V22" s="57" t="b">
        <f>EQ(UPPER(M2), LEFT(UPPER(V19), LEN(M2)))</f>
        <v>0</v>
      </c>
      <c r="W22" s="57" t="b">
        <f>EQ(UPPER(M2), LEFT(UPPER(W19), LEN(M2)))</f>
        <v>0</v>
      </c>
      <c r="X22" s="40" t="b">
        <f>EQ(UPPER(M2), LEFT(UPPER(X19), LEN(M2)))</f>
        <v>0</v>
      </c>
      <c r="Y22" s="57" t="b">
        <f>EQ(UPPER(M2), LEFT(UPPER(Y19), LEN(M2)))</f>
        <v>0</v>
      </c>
      <c r="Z22" s="46"/>
      <c r="AA22" s="46"/>
    </row>
    <row r="23">
      <c r="C23" s="31"/>
      <c r="D23" s="42"/>
      <c r="E23" s="42"/>
      <c r="F23" s="42"/>
      <c r="G23" s="42"/>
      <c r="H23" s="42"/>
      <c r="I23" s="32"/>
      <c r="J23" s="37">
        <f t="shared" si="1"/>
        <v>0</v>
      </c>
      <c r="K23" s="38">
        <f t="shared" si="3"/>
        <v>325</v>
      </c>
      <c r="L23" s="39">
        <v>20.0</v>
      </c>
      <c r="M23" s="32"/>
      <c r="N23" s="42"/>
      <c r="O23" s="38">
        <v>15.0</v>
      </c>
      <c r="P23" s="42"/>
      <c r="Q23" s="42"/>
      <c r="R23" s="42"/>
      <c r="S23" s="38">
        <v>20.0</v>
      </c>
      <c r="T23" s="37">
        <f t="shared" si="2"/>
        <v>35</v>
      </c>
      <c r="U23" s="38">
        <f t="shared" si="4"/>
        <v>270</v>
      </c>
      <c r="V23" s="57" t="b">
        <f>IFERROR(__xludf.DUMMYFUNCTION("IFERROR(OR(REGEXEXTRACT(V19, ""[0-9]+ :|[0-9]+:""), True), False)"),FALSE)</f>
        <v>0</v>
      </c>
      <c r="W23" s="57" t="b">
        <f>IFERROR(__xludf.DUMMYFUNCTION("IFERROR(OR(REGEXEXTRACT(W19, ""[0-9]+ :|[0-9]+:""), True), False)"),FALSE)</f>
        <v>0</v>
      </c>
      <c r="X23" s="57" t="b">
        <f>IFERROR(__xludf.DUMMYFUNCTION("IFERROR(OR(REGEXEXTRACT(X19, ""[0-9]+ :|[0-9]+:""), True), False)"),FALSE)</f>
        <v>0</v>
      </c>
      <c r="Y23" s="57" t="b">
        <f>IFERROR(__xludf.DUMMYFUNCTION("IFERROR(OR(REGEXEXTRACT(Y19, ""[0-9]+ :|[0-9]+:""), True), False)"),FALSE)</f>
        <v>0</v>
      </c>
      <c r="Z23" s="46"/>
      <c r="AA23" s="46"/>
    </row>
    <row r="24">
      <c r="C24" s="67"/>
      <c r="D24" s="59"/>
      <c r="E24" s="60"/>
      <c r="F24" s="61"/>
      <c r="G24" s="60"/>
      <c r="H24" s="59"/>
      <c r="I24" s="62" t="s">
        <v>59</v>
      </c>
      <c r="J24" s="63">
        <f t="shared" ref="J24:J27" si="8">IF(COUNTA(C24:H24)&lt;=1, IF(AND(OR(C24&lt;0, D24&lt;0, E24&lt;0, F24&lt;0, G24&lt;0, H24&lt;0), I24&gt;0), "BON.ERR", SUM(C24:H24)), "NEG.ERR")</f>
        <v>0</v>
      </c>
      <c r="K24" s="64">
        <f t="shared" si="3"/>
        <v>325</v>
      </c>
      <c r="L24" s="68" t="s">
        <v>60</v>
      </c>
      <c r="M24" s="66"/>
      <c r="N24" s="59"/>
      <c r="O24" s="66"/>
      <c r="P24" s="59"/>
      <c r="Q24" s="66"/>
      <c r="R24" s="59"/>
      <c r="S24" s="62" t="s">
        <v>59</v>
      </c>
      <c r="T24" s="63">
        <f t="shared" ref="T24:T27" si="9">IF(COUNTA(M24:R24)&lt;=1, IF(AND(OR(M24&lt;0, N24&lt;0, O24&lt;0, P24&lt;0, Q24&lt;0, R24&lt;0), S24&gt;0), "BON.ERR", SUM(M24:R24)), "NEG.ERR")</f>
        <v>0</v>
      </c>
      <c r="U24" s="64">
        <f t="shared" si="4"/>
        <v>270</v>
      </c>
      <c r="V24" s="57" t="b">
        <f t="shared" ref="V24:W24" si="7">IFERROR(IF(V21, AND(FIND(UPPER(C3), UPPER(V19)) &gt; 0, NOT(EQ(C3,""))), AND(FIND(UPPER(M3), UPPER(V19)) &gt; 0, NOT(EQ(M3,"")))), FALSE)</f>
        <v>0</v>
      </c>
      <c r="W24" s="57" t="b">
        <f t="shared" si="7"/>
        <v>0</v>
      </c>
      <c r="X24" s="57" t="b">
        <f>IFERROR(IF(X21, AND(FIND(UPPER(C3), UPPER(X19)) &gt; 0, NOT(EQ(C3,""))), AND(FIND(UPPER(M3), UPPER(X19)) &gt; 0, NOT(EQ(M3,"")))), FALSE)</f>
        <v>0</v>
      </c>
      <c r="Y24" s="57" t="b">
        <f>IFERROR(IF(Y21, AND(FIND(UPPER(C3), UPPER(Y19)) &gt; 0, NOT(EQ(C3,""))), AND(FIND(UPPER(M3), UPPER(Y19)) &gt; 0, NOT(EQ(M3,"")))), FALSE)</f>
        <v>0</v>
      </c>
      <c r="Z24" s="46"/>
      <c r="AA24" s="46"/>
    </row>
    <row r="25">
      <c r="C25" s="67"/>
      <c r="D25" s="61"/>
      <c r="E25" s="60"/>
      <c r="F25" s="59"/>
      <c r="G25" s="60"/>
      <c r="H25" s="59"/>
      <c r="I25" s="62" t="s">
        <v>59</v>
      </c>
      <c r="J25" s="63">
        <f t="shared" si="8"/>
        <v>0</v>
      </c>
      <c r="K25" s="64">
        <f t="shared" si="3"/>
        <v>325</v>
      </c>
      <c r="L25" s="25"/>
      <c r="M25" s="66"/>
      <c r="N25" s="59"/>
      <c r="O25" s="66"/>
      <c r="P25" s="59"/>
      <c r="Q25" s="66"/>
      <c r="R25" s="59"/>
      <c r="S25" s="62" t="s">
        <v>59</v>
      </c>
      <c r="T25" s="63">
        <f t="shared" si="9"/>
        <v>0</v>
      </c>
      <c r="U25" s="64">
        <f t="shared" si="4"/>
        <v>270</v>
      </c>
      <c r="V25" s="57" t="b">
        <f t="shared" ref="V25:W25" si="10">IFERROR(IF(V21, AND(FIND(UPPER(D3), UPPER(V19)) &gt; 0, NOT(EQ(D3,""))), AND(FIND(UPPER(N3), UPPER(V19)) &gt; 0, NOT(EQ(N3,"")))), FALSE)</f>
        <v>0</v>
      </c>
      <c r="W25" s="57" t="b">
        <f t="shared" si="10"/>
        <v>0</v>
      </c>
      <c r="X25" s="57" t="b">
        <f>IFERROR(IF(X21, AND(FIND(UPPER(D3), UPPER(X19)) &gt; 0, NOT(EQ(D3,""))), AND(FIND(UPPER(N3), UPPER(X19)) &gt; 0, NOT(EQ(N3,"")))), FALSE)</f>
        <v>0</v>
      </c>
      <c r="Y25" s="57" t="b">
        <f>IFERROR(IF(Y21, AND(FIND(UPPER(D3), UPPER(Y19)) &gt; 0, NOT(EQ(D3,""))), AND(FIND(UPPER(N3), UPPER(Y19)) &gt; 0, NOT(EQ(N3,"")))), FALSE)</f>
        <v>0</v>
      </c>
      <c r="Z25" s="46"/>
      <c r="AA25" s="46"/>
    </row>
    <row r="26">
      <c r="C26" s="67"/>
      <c r="D26" s="59"/>
      <c r="E26" s="60"/>
      <c r="F26" s="59"/>
      <c r="G26" s="60"/>
      <c r="H26" s="59"/>
      <c r="I26" s="62" t="s">
        <v>59</v>
      </c>
      <c r="J26" s="63">
        <f t="shared" si="8"/>
        <v>0</v>
      </c>
      <c r="K26" s="64">
        <f t="shared" si="3"/>
        <v>325</v>
      </c>
      <c r="L26" s="25"/>
      <c r="M26" s="66"/>
      <c r="N26" s="59"/>
      <c r="O26" s="66"/>
      <c r="P26" s="59"/>
      <c r="Q26" s="66"/>
      <c r="R26" s="59"/>
      <c r="S26" s="62" t="s">
        <v>59</v>
      </c>
      <c r="T26" s="63">
        <f t="shared" si="9"/>
        <v>0</v>
      </c>
      <c r="U26" s="64">
        <f t="shared" si="4"/>
        <v>270</v>
      </c>
      <c r="V26" s="57" t="b">
        <f t="shared" ref="V26:W26" si="11">IFERROR(IF(V21, AND(FIND(UPPER(E3), UPPER(V19)) &gt; 0, NOT(EQ(E3,""))), AND(FIND(UPPER(O3), UPPER(V19)) &gt; 0, NOT(EQ(O3,"")))), FALSE)</f>
        <v>0</v>
      </c>
      <c r="W26" s="57" t="b">
        <f t="shared" si="11"/>
        <v>0</v>
      </c>
      <c r="X26" s="57" t="b">
        <f>IFERROR(IF(X21, AND(FIND(UPPER(E3), UPPER(X19)) &gt; 0, NOT(EQ(E3,""))), AND(FIND(UPPER(O3), UPPER(X19)) &gt; 0, NOT(EQ(O3,"")))), FALSE)</f>
        <v>0</v>
      </c>
      <c r="Y26" s="57" t="b">
        <f>IFERROR(IF(Y21, AND(FIND(UPPER(E3), UPPER(Y19)) &gt; 0, NOT(EQ(E3,""))), AND(FIND(UPPER(O3), UPPER(Y19)) &gt; 0, NOT(EQ(O3,"")))), FALSE)</f>
        <v>0</v>
      </c>
      <c r="Z26" s="46"/>
      <c r="AA26" s="46"/>
    </row>
    <row r="27">
      <c r="C27" s="67"/>
      <c r="D27" s="59"/>
      <c r="E27" s="60"/>
      <c r="F27" s="59"/>
      <c r="G27" s="60"/>
      <c r="H27" s="59"/>
      <c r="I27" s="62" t="s">
        <v>59</v>
      </c>
      <c r="J27" s="63">
        <f t="shared" si="8"/>
        <v>0</v>
      </c>
      <c r="K27" s="64">
        <f t="shared" si="3"/>
        <v>325</v>
      </c>
      <c r="L27" s="69"/>
      <c r="M27" s="66"/>
      <c r="N27" s="59"/>
      <c r="O27" s="66"/>
      <c r="P27" s="59"/>
      <c r="Q27" s="66"/>
      <c r="R27" s="59"/>
      <c r="S27" s="62" t="s">
        <v>59</v>
      </c>
      <c r="T27" s="63">
        <f t="shared" si="9"/>
        <v>0</v>
      </c>
      <c r="U27" s="64">
        <f t="shared" si="4"/>
        <v>270</v>
      </c>
      <c r="V27" s="57" t="b">
        <f t="shared" ref="V27:W27" si="12">IFERROR(IF(V21, AND(FIND(UPPER(F3), UPPER(V19)) &gt; 0, NOT(EQ(F3,""))), AND(FIND(UPPER(P3), UPPER(V19)) &gt; 0, NOT(EQ(P3,"")))), FALSE)</f>
        <v>0</v>
      </c>
      <c r="W27" s="57" t="b">
        <f t="shared" si="12"/>
        <v>0</v>
      </c>
      <c r="X27" s="57" t="b">
        <f>IFERROR(IF(X21, AND(FIND(UPPER(F3), UPPER(X19)) &gt; 0, NOT(EQ(F3,""))), AND(FIND(UPPER(P3), UPPER(X19)) &gt; 0, NOT(EQ(P3,"")))), FALSE)</f>
        <v>0</v>
      </c>
      <c r="Y27" s="57" t="b">
        <f>IFERROR(IF(Y21, AND(FIND(UPPER(F3), UPPER(Y19)) &gt; 0, NOT(EQ(F3,""))), AND(FIND(UPPER(P3), UPPER(Y19)) &gt; 0, NOT(EQ(P3,"")))), FALSE)</f>
        <v>0</v>
      </c>
      <c r="Z27" s="46"/>
      <c r="AA27" s="46"/>
    </row>
    <row r="28">
      <c r="B28" s="70">
        <v>15.0</v>
      </c>
      <c r="C28" s="71">
        <f t="shared" ref="C28:H28" si="13">COUNTIF(C4:C27, "=15")</f>
        <v>0</v>
      </c>
      <c r="D28" s="72">
        <f t="shared" si="13"/>
        <v>4</v>
      </c>
      <c r="E28" s="71">
        <f t="shared" si="13"/>
        <v>0</v>
      </c>
      <c r="F28" s="72">
        <f t="shared" si="13"/>
        <v>0</v>
      </c>
      <c r="G28" s="71">
        <f t="shared" si="13"/>
        <v>0</v>
      </c>
      <c r="H28" s="72">
        <f t="shared" si="13"/>
        <v>0</v>
      </c>
      <c r="I28" s="73" t="s">
        <v>61</v>
      </c>
      <c r="J28" s="74"/>
      <c r="K28" s="75" t="s">
        <v>62</v>
      </c>
      <c r="L28" s="76">
        <v>15.0</v>
      </c>
      <c r="M28" s="77">
        <f t="shared" ref="M28:R28" si="14">COUNTIF(M4:M27, "=15")</f>
        <v>3</v>
      </c>
      <c r="N28" s="78">
        <f t="shared" si="14"/>
        <v>1</v>
      </c>
      <c r="O28" s="77">
        <f t="shared" si="14"/>
        <v>1</v>
      </c>
      <c r="P28" s="78">
        <f t="shared" si="14"/>
        <v>0</v>
      </c>
      <c r="Q28" s="77">
        <f t="shared" si="14"/>
        <v>0</v>
      </c>
      <c r="R28" s="78">
        <f t="shared" si="14"/>
        <v>0</v>
      </c>
      <c r="S28" s="79" t="s">
        <v>61</v>
      </c>
      <c r="T28" s="74"/>
      <c r="U28" s="80" t="s">
        <v>62</v>
      </c>
      <c r="V28" s="57" t="b">
        <f t="shared" ref="V28:W28" si="15">IFERROR(IF(V21, AND(FIND(UPPER(G3), UPPER(V19)) &gt; 0, NOT(EQ(G3,""))), AND(FIND(UPPER(Q3), UPPER(V19)) &gt; 0, NOT(EQ(Q3,"")))), FALSE)</f>
        <v>0</v>
      </c>
      <c r="W28" s="57" t="b">
        <f t="shared" si="15"/>
        <v>0</v>
      </c>
      <c r="X28" s="57" t="b">
        <f>IFERROR(IF(X21, AND(FIND(UPPER(G3), UPPER(X19)) &gt; 0, NOT(EQ(G3,""))), AND(FIND(UPPER(Q3), UPPER(X19)) &gt; 0, NOT(EQ(Q3,"")))), FALSE)</f>
        <v>0</v>
      </c>
      <c r="Y28" s="57" t="b">
        <f>IFERROR(IF(Y21, AND(FIND(UPPER(G3), UPPER(Y19)) &gt; 0, NOT(EQ(G3,""))), AND(FIND(UPPER(Q3), UPPER(Y19)) &gt; 0, NOT(EQ(Q3,"")))), FALSE)</f>
        <v>0</v>
      </c>
      <c r="Z28" s="46"/>
      <c r="AA28" s="46"/>
    </row>
    <row r="29">
      <c r="B29" s="81">
        <v>10.0</v>
      </c>
      <c r="C29" s="82">
        <f t="shared" ref="C29:H29" si="16">COUNTIF(C4:C27, "=10")</f>
        <v>3</v>
      </c>
      <c r="D29" s="83">
        <f t="shared" si="16"/>
        <v>3</v>
      </c>
      <c r="E29" s="82">
        <f t="shared" si="16"/>
        <v>1</v>
      </c>
      <c r="F29" s="83">
        <f t="shared" si="16"/>
        <v>0</v>
      </c>
      <c r="G29" s="82">
        <f t="shared" si="16"/>
        <v>0</v>
      </c>
      <c r="H29" s="83">
        <f t="shared" si="16"/>
        <v>0</v>
      </c>
      <c r="I29" s="84"/>
      <c r="J29" s="25"/>
      <c r="K29" s="85"/>
      <c r="L29" s="86">
        <v>10.0</v>
      </c>
      <c r="M29" s="87">
        <f t="shared" ref="M29:R29" si="17">COUNTIF(M4:M27, "=10")</f>
        <v>3</v>
      </c>
      <c r="N29" s="88">
        <f t="shared" si="17"/>
        <v>1</v>
      </c>
      <c r="O29" s="87">
        <f t="shared" si="17"/>
        <v>0</v>
      </c>
      <c r="P29" s="88">
        <f t="shared" si="17"/>
        <v>0</v>
      </c>
      <c r="Q29" s="87">
        <f t="shared" si="17"/>
        <v>0</v>
      </c>
      <c r="R29" s="88">
        <f t="shared" si="17"/>
        <v>0</v>
      </c>
      <c r="S29" s="84"/>
      <c r="T29" s="25"/>
      <c r="U29" s="85"/>
      <c r="V29" s="57" t="b">
        <f>IFERROR(IF(V21, AND(FIND(UPPER(H3), UPPER(V19)) &gt; 0, NOT(EQ(H3,""))), AND(FIND(UPPER(R3), UPPER(V19)) &gt; 0, NOT(EQ(R3,"")))), FALSE)</f>
        <v>0</v>
      </c>
      <c r="W29" s="57" t="b">
        <f>IFERROR(IF(W21, AND(FIND(UPPER(C3), UPPER(W19)) &gt; 0, NOT(EQ(C3,""))), AND(FIND(UPPER(M3), UPPER(W19)) &gt; 0, NOT(EQ(M3,"")))), FALSE)</f>
        <v>0</v>
      </c>
      <c r="X29" s="57" t="b">
        <f>IFERROR(IF(X21, AND(FIND(UPPER(H3), UPPER(X19)) &gt; 0, NOT(EQ(H3,""))), AND(FIND(UPPER(R3), UPPER(X19)) &gt; 0, NOT(EQ(R3,"")))), FALSE)</f>
        <v>0</v>
      </c>
      <c r="Y29" s="57" t="b">
        <f>IFERROR(IF(Y21, AND(FIND(UPPER(H3), UPPER(Y19)) &gt; 0, NOT(EQ(H3,""))), AND(FIND(UPPER(R3), UPPER(Y19)) &gt; 0, NOT(EQ(R3,"")))), FALSE)</f>
        <v>0</v>
      </c>
      <c r="Z29" s="46"/>
      <c r="AA29" s="46"/>
    </row>
    <row r="30">
      <c r="B30" s="81">
        <v>-5.0</v>
      </c>
      <c r="C30" s="89">
        <f t="shared" ref="C30:H30" si="18">COUNTIF(C4:C27, "=-5")</f>
        <v>0</v>
      </c>
      <c r="D30" s="90">
        <f t="shared" si="18"/>
        <v>1</v>
      </c>
      <c r="E30" s="89">
        <f t="shared" si="18"/>
        <v>0</v>
      </c>
      <c r="F30" s="90">
        <f t="shared" si="18"/>
        <v>0</v>
      </c>
      <c r="G30" s="89">
        <f t="shared" si="18"/>
        <v>0</v>
      </c>
      <c r="H30" s="90">
        <f t="shared" si="18"/>
        <v>0</v>
      </c>
      <c r="I30" s="91">
        <f>sum(I4:I23)</f>
        <v>200</v>
      </c>
      <c r="J30" s="25"/>
      <c r="K30" s="92">
        <f>IFERROR(I30/SUM(C28:G29), 0)</f>
        <v>18.18181818</v>
      </c>
      <c r="L30" s="86">
        <v>-5.0</v>
      </c>
      <c r="M30" s="93">
        <f t="shared" ref="M30:R30" si="19">COUNTIF(M4:M27, "=-5")</f>
        <v>1</v>
      </c>
      <c r="N30" s="94">
        <f t="shared" si="19"/>
        <v>0</v>
      </c>
      <c r="O30" s="93">
        <f t="shared" si="19"/>
        <v>0</v>
      </c>
      <c r="P30" s="94">
        <f t="shared" si="19"/>
        <v>0</v>
      </c>
      <c r="Q30" s="93">
        <f t="shared" si="19"/>
        <v>0</v>
      </c>
      <c r="R30" s="94">
        <f t="shared" si="19"/>
        <v>0</v>
      </c>
      <c r="S30" s="95">
        <f>sum(S4:S23)</f>
        <v>160</v>
      </c>
      <c r="T30" s="25"/>
      <c r="U30" s="96">
        <f>IFERROR(S30/SUM(M28:Q29), 0)</f>
        <v>17.77777778</v>
      </c>
      <c r="V30" s="57" t="b">
        <f t="shared" ref="V30:W30" si="20">AND(IF(AND(COUNTIF(V24:V29, TRUE)=2, IFERROR(FIND("-", V19) &gt; 0, TRUE)), TRUE, IF(AND(COUNTIF(V24:V29, TRUE)=1, IFERROR(FIND("-", V19) &gt; 0, FALSE)), TRUE, FALSE)),V23)</f>
        <v>0</v>
      </c>
      <c r="W30" s="57" t="b">
        <f t="shared" si="20"/>
        <v>0</v>
      </c>
      <c r="X30" s="57" t="b">
        <f>AND(IF(AND(COUNTIF(X24:X29, TRUE)= 2, IFERROR(FIND("-", X19) &gt; 0, TRUE)), TRUE, IF(AND(COUNTIF(X24:X29,TRUE)=1, IFERROR(FIND("-", X19) &gt; 0, FALSE)), TRUE, FALSE)),X23)</f>
        <v>0</v>
      </c>
      <c r="Y30" s="57" t="b">
        <f>AND(IF(AND(COUNTIF(Y24:Y29, TRUE)=2, IFERROR(FIND("-", Y19) &gt; 0, TRUE)), TRUE, IF(AND(COUNTIF(Y24:Y29, TRUE)=1, IFERROR(FIND("-", Y19) &gt; 0, FALSE)), TRUE, FALSE)),Y23)</f>
        <v>0</v>
      </c>
      <c r="Z30" s="46"/>
      <c r="AA30" s="46"/>
    </row>
    <row r="31">
      <c r="B31" s="97" t="s">
        <v>63</v>
      </c>
      <c r="C31" s="98">
        <f t="shared" ref="C31:H31" si="21">(C28*15)+(C29*10)+(C30*-5)</f>
        <v>30</v>
      </c>
      <c r="D31" s="99">
        <f t="shared" si="21"/>
        <v>85</v>
      </c>
      <c r="E31" s="98">
        <f t="shared" si="21"/>
        <v>10</v>
      </c>
      <c r="F31" s="99">
        <f t="shared" si="21"/>
        <v>0</v>
      </c>
      <c r="G31" s="98">
        <f t="shared" si="21"/>
        <v>0</v>
      </c>
      <c r="H31" s="99">
        <f t="shared" si="21"/>
        <v>0</v>
      </c>
      <c r="I31" s="100"/>
      <c r="J31" s="69"/>
      <c r="K31" s="101"/>
      <c r="L31" s="102" t="s">
        <v>63</v>
      </c>
      <c r="M31" s="103">
        <f t="shared" ref="M31:R31" si="22">(M28*15)+(M29*10)+(M30*-5)</f>
        <v>70</v>
      </c>
      <c r="N31" s="99">
        <f t="shared" si="22"/>
        <v>25</v>
      </c>
      <c r="O31" s="103">
        <f t="shared" si="22"/>
        <v>15</v>
      </c>
      <c r="P31" s="99">
        <f t="shared" si="22"/>
        <v>0</v>
      </c>
      <c r="Q31" s="103">
        <f t="shared" si="22"/>
        <v>0</v>
      </c>
      <c r="R31" s="99">
        <f t="shared" si="22"/>
        <v>0</v>
      </c>
      <c r="S31" s="100"/>
      <c r="T31" s="69"/>
      <c r="U31" s="101"/>
      <c r="V31" s="40" t="b">
        <f t="shared" ref="V31:Y31" si="23">OR(AND(V30, OR(V21,V22)),V20)</f>
        <v>1</v>
      </c>
      <c r="W31" s="40" t="b">
        <f t="shared" si="23"/>
        <v>1</v>
      </c>
      <c r="X31" s="40" t="b">
        <f t="shared" si="23"/>
        <v>1</v>
      </c>
      <c r="Y31" s="40" t="b">
        <f t="shared" si="23"/>
        <v>1</v>
      </c>
      <c r="Z31" s="46"/>
      <c r="AA31" s="46"/>
    </row>
    <row r="32">
      <c r="B32" s="104">
        <f>K27</f>
        <v>325</v>
      </c>
      <c r="I32" s="25"/>
      <c r="J32" s="105" t="s">
        <v>64</v>
      </c>
      <c r="K32" s="106"/>
      <c r="L32" s="106"/>
      <c r="M32" s="74"/>
      <c r="N32" s="107">
        <f>U27</f>
        <v>270</v>
      </c>
      <c r="O32" s="106"/>
      <c r="P32" s="106"/>
      <c r="Q32" s="106"/>
      <c r="R32" s="106"/>
      <c r="S32" s="106"/>
      <c r="T32" s="106"/>
      <c r="U32" s="74"/>
      <c r="V32" s="40" t="b">
        <f>AND(V31:Y31)</f>
        <v>1</v>
      </c>
      <c r="W32" s="40"/>
      <c r="X32" s="40"/>
      <c r="Y32" s="40"/>
      <c r="Z32" s="46"/>
      <c r="AA32" s="46"/>
    </row>
    <row r="33">
      <c r="B33" s="84"/>
      <c r="I33" s="25"/>
      <c r="J33" s="84"/>
      <c r="M33" s="25"/>
      <c r="N33" s="84"/>
      <c r="U33" s="25"/>
      <c r="V33" s="40"/>
      <c r="W33" s="40"/>
      <c r="X33" s="40"/>
      <c r="Y33" s="40"/>
      <c r="Z33" s="46"/>
      <c r="AA33" s="46"/>
    </row>
    <row r="34">
      <c r="B34" s="100"/>
      <c r="C34" s="109"/>
      <c r="D34" s="109"/>
      <c r="E34" s="109"/>
      <c r="F34" s="109"/>
      <c r="G34" s="109"/>
      <c r="H34" s="109"/>
      <c r="I34" s="69"/>
      <c r="J34" s="100"/>
      <c r="K34" s="109"/>
      <c r="L34" s="109"/>
      <c r="M34" s="69"/>
      <c r="N34" s="100"/>
      <c r="O34" s="109"/>
      <c r="P34" s="109"/>
      <c r="Q34" s="109"/>
      <c r="R34" s="109"/>
      <c r="S34" s="109"/>
      <c r="T34" s="109"/>
      <c r="U34" s="69"/>
      <c r="V34" s="46"/>
      <c r="W34" s="46"/>
      <c r="X34" s="46"/>
      <c r="Y34" s="46"/>
      <c r="Z34" s="46"/>
      <c r="AA34" s="46"/>
    </row>
    <row r="35">
      <c r="V35" s="46"/>
      <c r="W35" s="46"/>
      <c r="X35" s="46"/>
      <c r="Y35" s="46"/>
      <c r="Z35" s="46"/>
      <c r="AA35" s="40"/>
    </row>
    <row r="36">
      <c r="V36" s="46"/>
      <c r="W36" s="46"/>
      <c r="X36" s="46"/>
      <c r="Y36" s="46"/>
      <c r="Z36" s="46"/>
      <c r="AA36" s="40"/>
    </row>
    <row r="37">
      <c r="C37" s="156"/>
      <c r="V37" s="46"/>
      <c r="W37" s="46"/>
      <c r="X37" s="46"/>
      <c r="Y37" s="46"/>
      <c r="Z37" s="46"/>
      <c r="AA37" s="40"/>
    </row>
    <row r="38">
      <c r="C38" s="111"/>
      <c r="V38" s="46"/>
      <c r="W38" s="46"/>
      <c r="X38" s="46"/>
      <c r="Y38" s="46"/>
      <c r="Z38" s="46"/>
      <c r="AA38" s="40"/>
    </row>
    <row r="39">
      <c r="V39" s="46"/>
      <c r="W39" s="46"/>
      <c r="X39" s="46"/>
      <c r="Y39" s="46"/>
      <c r="Z39" s="46"/>
      <c r="AA39" s="40"/>
    </row>
    <row r="40">
      <c r="V40" s="46"/>
      <c r="W40" s="46"/>
      <c r="X40" s="46"/>
      <c r="Y40" s="112"/>
      <c r="Z40" s="112"/>
      <c r="AA40" s="40"/>
    </row>
    <row r="41">
      <c r="V41" s="46"/>
      <c r="W41" s="46"/>
      <c r="X41" s="46"/>
      <c r="Y41" s="46"/>
      <c r="Z41" s="46"/>
      <c r="AA41" s="40"/>
    </row>
    <row r="42">
      <c r="V42" s="46"/>
      <c r="W42" s="46"/>
      <c r="X42" s="46"/>
      <c r="Y42" s="46"/>
      <c r="Z42" s="46"/>
      <c r="AA42" s="40"/>
    </row>
    <row r="43">
      <c r="V43" s="46"/>
      <c r="W43" s="46"/>
      <c r="X43" s="46"/>
      <c r="Y43" s="46"/>
      <c r="Z43" s="46"/>
      <c r="AA43" s="40"/>
    </row>
    <row r="44">
      <c r="C44" s="113"/>
      <c r="F44" s="113"/>
      <c r="G44" s="113"/>
      <c r="V44" s="114"/>
      <c r="W44" s="46"/>
      <c r="X44" s="46"/>
      <c r="Y44" s="46"/>
      <c r="Z44" s="46"/>
      <c r="AA44" s="40"/>
    </row>
    <row r="45">
      <c r="C45" s="113"/>
      <c r="F45" s="113"/>
      <c r="G45" s="113"/>
      <c r="V45" s="40"/>
      <c r="W45" s="40"/>
      <c r="X45" s="40"/>
      <c r="Y45" s="40"/>
      <c r="Z45" s="40"/>
      <c r="AA45" s="40"/>
    </row>
    <row r="46">
      <c r="C46" s="115" t="s">
        <v>66</v>
      </c>
      <c r="F46" s="113"/>
      <c r="G46" s="113"/>
      <c r="V46" s="40"/>
      <c r="W46" s="40"/>
      <c r="X46" s="40"/>
      <c r="Y46" s="40"/>
      <c r="Z46" s="40"/>
      <c r="AA46" s="40"/>
    </row>
    <row r="47">
      <c r="C47" s="116"/>
      <c r="V47" s="40"/>
      <c r="W47" s="40"/>
      <c r="X47" s="40"/>
      <c r="Y47" s="40"/>
      <c r="Z47" s="40"/>
      <c r="AA47" s="40"/>
    </row>
    <row r="48">
      <c r="V48" s="40"/>
      <c r="W48" s="40"/>
      <c r="X48" s="40"/>
      <c r="Y48" s="40"/>
      <c r="Z48" s="40"/>
      <c r="AA48" s="40"/>
    </row>
    <row r="49">
      <c r="V49" s="40"/>
      <c r="W49" s="40"/>
      <c r="X49" s="40"/>
      <c r="Y49" s="40"/>
      <c r="Z49" s="40"/>
      <c r="AA49" s="40"/>
    </row>
    <row r="50">
      <c r="V50" s="40"/>
      <c r="W50" s="40"/>
      <c r="X50" s="40"/>
      <c r="Y50" s="40"/>
      <c r="Z50" s="40"/>
      <c r="AA50" s="40"/>
    </row>
    <row r="51">
      <c r="V51" s="40"/>
      <c r="W51" s="40"/>
      <c r="X51" s="40"/>
      <c r="Y51" s="40"/>
      <c r="Z51" s="40"/>
      <c r="AA51" s="40"/>
    </row>
    <row r="52">
      <c r="V52" s="40"/>
      <c r="W52" s="40"/>
      <c r="X52" s="40"/>
      <c r="Y52" s="40"/>
      <c r="Z52" s="40"/>
      <c r="AA52" s="40"/>
    </row>
    <row r="53">
      <c r="C53" s="113"/>
      <c r="F53" s="113"/>
      <c r="G53" s="113"/>
      <c r="V53" s="40"/>
      <c r="W53" s="40"/>
      <c r="X53" s="40"/>
      <c r="Y53" s="40"/>
      <c r="Z53" s="40"/>
      <c r="AA53" s="40"/>
    </row>
    <row r="54">
      <c r="C54" s="113"/>
      <c r="F54" s="113"/>
      <c r="G54" s="113"/>
      <c r="V54" s="40"/>
      <c r="W54" s="40"/>
      <c r="X54" s="40"/>
      <c r="Y54" s="40"/>
      <c r="Z54" s="40"/>
      <c r="AA54" s="40"/>
    </row>
  </sheetData>
  <mergeCells count="18">
    <mergeCell ref="I30:J31"/>
    <mergeCell ref="B32:I34"/>
    <mergeCell ref="C38:T43"/>
    <mergeCell ref="C47:T52"/>
    <mergeCell ref="J32:M34"/>
    <mergeCell ref="N32:U34"/>
    <mergeCell ref="U30:U31"/>
    <mergeCell ref="S30:T31"/>
    <mergeCell ref="K28:K29"/>
    <mergeCell ref="S28:T29"/>
    <mergeCell ref="K30:K31"/>
    <mergeCell ref="G1:Q1"/>
    <mergeCell ref="C2:K2"/>
    <mergeCell ref="L2:L3"/>
    <mergeCell ref="M2:U2"/>
    <mergeCell ref="L24:L27"/>
    <mergeCell ref="I28:J29"/>
    <mergeCell ref="U28:U29"/>
  </mergeCells>
  <conditionalFormatting sqref="C4:U23">
    <cfRule type="expression" dxfId="0" priority="1">
      <formula>$I:$I&lt;&gt;""</formula>
    </cfRule>
  </conditionalFormatting>
  <conditionalFormatting sqref="C4:U23">
    <cfRule type="expression" dxfId="0" priority="2">
      <formula>$S:$S&lt;&gt;""</formula>
    </cfRule>
  </conditionalFormatting>
  <conditionalFormatting sqref="A1">
    <cfRule type="notContainsBlanks" dxfId="1" priority="3">
      <formula>LEN(TRIM(A1))&gt;0</formula>
    </cfRule>
  </conditionalFormatting>
  <conditionalFormatting sqref="X12">
    <cfRule type="notContainsBlanks" dxfId="1" priority="4">
      <formula>LEN(TRIM(X12))&gt;0</formula>
    </cfRule>
  </conditionalFormatting>
  <conditionalFormatting sqref="C38:T43">
    <cfRule type="expression" dxfId="2" priority="5">
      <formula>NOT(V32)</formula>
    </cfRule>
  </conditionalFormatting>
  <conditionalFormatting sqref="C37">
    <cfRule type="expression" dxfId="3" priority="6">
      <formula>NOT(V32)</formula>
    </cfRule>
  </conditionalFormatting>
  <dataValidations>
    <dataValidation type="list" allowBlank="1" showErrorMessage="1" sqref="M3:R3">
      <formula1>'ROUND 9'!$X$5:$X$11</formula1>
    </dataValidation>
    <dataValidation type="list" allowBlank="1" showErrorMessage="1" sqref="I4:I23 S4:S23">
      <formula1>"0,10,20,30"</formula1>
    </dataValidation>
    <dataValidation type="list" allowBlank="1" showErrorMessage="1" sqref="C4:H27 M4:R27">
      <formula1>"-5,10,15"</formula1>
    </dataValidation>
    <dataValidation type="list" allowBlank="1" showErrorMessage="1" sqref="C2 M2">
      <formula1>INSTRUCTIONS!$A$28:$AJ$28</formula1>
    </dataValidation>
    <dataValidation type="list" allowBlank="1" showErrorMessage="1" sqref="C3:H3">
      <formula1>'ROUND 9'!$W$5:$W$11</formula1>
    </dataValidation>
  </dataValidation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1" max="1" width="1.29"/>
    <col customWidth="1" min="2" max="2" width="5.0"/>
    <col customWidth="1" min="3" max="7" width="8.71"/>
    <col customWidth="1" min="8" max="8" width="8.43"/>
    <col customWidth="1" min="9" max="9" width="9.14"/>
    <col customWidth="1" min="10" max="10" width="8.29"/>
    <col customWidth="1" min="11" max="11" width="8.0"/>
    <col customWidth="1" min="12" max="12" width="8.86"/>
    <col customWidth="1" min="13" max="13" width="8.71"/>
    <col customWidth="1" min="14" max="14" width="8.43"/>
    <col customWidth="1" min="15" max="18" width="8.71"/>
    <col customWidth="1" min="19" max="19" width="8.86"/>
    <col customWidth="1" min="20" max="20" width="8.0"/>
    <col customWidth="1" min="21" max="21" width="8.43"/>
    <col customWidth="1" min="22" max="22" width="21.57"/>
  </cols>
  <sheetData>
    <row r="1" ht="18.75" customHeight="1">
      <c r="C1" s="2"/>
      <c r="D1" s="2"/>
      <c r="E1" s="2"/>
      <c r="F1" s="2"/>
      <c r="G1" s="5" t="s">
        <v>97</v>
      </c>
      <c r="R1" s="2"/>
      <c r="S1" s="2"/>
      <c r="T1" s="2"/>
      <c r="U1" s="2"/>
      <c r="V1" s="7"/>
      <c r="W1" s="7"/>
      <c r="X1" s="7"/>
      <c r="Y1" s="7"/>
      <c r="Z1" s="7"/>
    </row>
    <row r="2" ht="18.75" customHeight="1">
      <c r="C2" s="9" t="s">
        <v>93</v>
      </c>
      <c r="D2" s="11"/>
      <c r="E2" s="11"/>
      <c r="F2" s="11"/>
      <c r="G2" s="11"/>
      <c r="H2" s="11"/>
      <c r="I2" s="11"/>
      <c r="J2" s="11"/>
      <c r="K2" s="12"/>
      <c r="L2" s="15" t="s">
        <v>9</v>
      </c>
      <c r="M2" s="17" t="s">
        <v>49</v>
      </c>
      <c r="N2" s="11"/>
      <c r="O2" s="11"/>
      <c r="P2" s="11"/>
      <c r="Q2" s="11"/>
      <c r="R2" s="11"/>
      <c r="S2" s="11"/>
      <c r="T2" s="11"/>
      <c r="U2" s="12"/>
      <c r="V2" s="7"/>
      <c r="W2" s="7"/>
      <c r="X2" s="7"/>
      <c r="Y2" s="7"/>
      <c r="Z2" s="7"/>
    </row>
    <row r="3">
      <c r="C3" s="18" t="s">
        <v>94</v>
      </c>
      <c r="D3" s="20" t="s">
        <v>95</v>
      </c>
      <c r="E3" s="22" t="s">
        <v>96</v>
      </c>
      <c r="F3" s="20"/>
      <c r="G3" s="22"/>
      <c r="H3" s="20"/>
      <c r="I3" s="23" t="s">
        <v>24</v>
      </c>
      <c r="J3" s="24" t="s">
        <v>27</v>
      </c>
      <c r="K3" s="23" t="s">
        <v>29</v>
      </c>
      <c r="L3" s="25"/>
      <c r="M3" s="26" t="s">
        <v>51</v>
      </c>
      <c r="N3" s="28" t="s">
        <v>52</v>
      </c>
      <c r="O3" s="26" t="s">
        <v>53</v>
      </c>
      <c r="P3" s="28" t="s">
        <v>54</v>
      </c>
      <c r="Q3" s="26"/>
      <c r="R3" s="30"/>
      <c r="S3" s="23" t="s">
        <v>24</v>
      </c>
      <c r="T3" s="24" t="s">
        <v>27</v>
      </c>
      <c r="U3" s="23" t="s">
        <v>29</v>
      </c>
      <c r="V3" s="7"/>
      <c r="W3" s="7"/>
      <c r="X3" s="7"/>
      <c r="Y3" s="7"/>
      <c r="Z3" s="7"/>
    </row>
    <row r="4">
      <c r="C4" s="31"/>
      <c r="D4" s="32"/>
      <c r="E4" s="32"/>
      <c r="F4" s="32"/>
      <c r="G4" s="32"/>
      <c r="H4" s="32"/>
      <c r="I4" s="32"/>
      <c r="J4" s="37">
        <f t="shared" ref="J4:J23" si="1">IF(AND(COUNTA(C4:H4)=0,I4&gt;0), "BON.ERR", IF(COUNTA(C4:H4)&lt;=1, IF(AND(OR(C4&lt;0, D4&lt;0, E4&lt;0, F4&lt;0, G4&lt;0, H4&lt;0), I4&gt;0), "BON.ERR", SUM(C4:I4)), "TEAM.ERR"))</f>
        <v>0</v>
      </c>
      <c r="K4" s="38">
        <f>if(sum(sum(C4:H4), M4:R4)&lt;-6, "NEG.ERR", if(and(sum(C4:I4)&gt;0, sum(M4:S4)&gt;0), "ERROR", sum(J4)))</f>
        <v>0</v>
      </c>
      <c r="L4" s="39">
        <v>1.0</v>
      </c>
      <c r="M4" s="37">
        <v>15.0</v>
      </c>
      <c r="N4" s="32"/>
      <c r="O4" s="32"/>
      <c r="P4" s="32"/>
      <c r="Q4" s="32"/>
      <c r="R4" s="32"/>
      <c r="S4" s="37">
        <v>20.0</v>
      </c>
      <c r="T4" s="37">
        <f t="shared" ref="T4:T23" si="2">IF(AND(COUNTA(M4:R4)=0,S4&gt;0), "BON.ERR", IF(COUNTA(M4:R4)&lt;=1, IF(AND(OR(M4&lt;0, N4&lt;0, O4&lt;0, P4&lt;0, Q4&lt;0, R4&lt;0), S4&gt;0), "BON.ERR", SUM(M4:S4)), "TEAM.ERR"))</f>
        <v>35</v>
      </c>
      <c r="U4" s="38">
        <f>if(sum(sum(C4:H4), M4:R4)&lt;-6, "NEG.ERR", if(and(sum(C4:H4)&gt;0, sum(M4:R4)&gt;0), "ERROR", sum(T4)))</f>
        <v>35</v>
      </c>
      <c r="V4" s="40"/>
      <c r="W4" s="41" t="str">
        <f>IFERROR(__xludf.DUMMYFUNCTION("filter(INSTRUCTIONS!A28:AJ39, INSTRUCTIONS!A28:AJ28=C2)"),"MCLEAN")</f>
        <v>MCLEAN</v>
      </c>
      <c r="X4" s="41" t="str">
        <f>IFERROR(__xludf.DUMMYFUNCTION("filter(INSTRUCTIONS!A28:AJ39, INSTRUCTIONS!A28:AJ28=M2)"),"CENTENNIAL A")</f>
        <v>CENTENNIAL A</v>
      </c>
      <c r="Y4" s="41"/>
      <c r="Z4" s="40"/>
      <c r="AA4" s="40"/>
    </row>
    <row r="5">
      <c r="C5" s="31"/>
      <c r="D5" s="32"/>
      <c r="E5" s="32"/>
      <c r="F5" s="32"/>
      <c r="G5" s="32"/>
      <c r="H5" s="32"/>
      <c r="I5" s="32"/>
      <c r="J5" s="37">
        <f t="shared" si="1"/>
        <v>0</v>
      </c>
      <c r="K5" s="38">
        <f t="shared" ref="K5:K27" si="3">if(sum(sum(C5:H5), M5:R5)&lt;-6, "NEG.ERR", if(and(sum(C5:I5)&gt;0, sum(M5:S5)&gt;0), "ERROR", sum(J5,K4)))</f>
        <v>0</v>
      </c>
      <c r="L5" s="39">
        <v>2.0</v>
      </c>
      <c r="M5" s="32"/>
      <c r="N5" s="32"/>
      <c r="O5" s="32"/>
      <c r="P5" s="37">
        <v>10.0</v>
      </c>
      <c r="Q5" s="42"/>
      <c r="R5" s="42"/>
      <c r="S5" s="37">
        <v>10.0</v>
      </c>
      <c r="T5" s="37">
        <f t="shared" si="2"/>
        <v>20</v>
      </c>
      <c r="U5" s="38">
        <f t="shared" ref="U5:U27" si="4">if(sum(sum(C5:H5), M5:R5)&lt;-6, "NEG.ERR", if(and(sum(C5:H5)&gt;0, sum(M5:R5)&gt;0), "ERROR", sum(T5,U4)))</f>
        <v>55</v>
      </c>
      <c r="V5" s="40"/>
      <c r="W5" s="41" t="str">
        <f>IFERROR(__xludf.DUMMYFUNCTION("""COMPUTED_VALUE"""),"Sam Asimos")</f>
        <v>Sam Asimos</v>
      </c>
      <c r="X5" s="41" t="str">
        <f>IFERROR(__xludf.DUMMYFUNCTION("""COMPUTED_VALUE"""),"Nathan Ho")</f>
        <v>Nathan Ho</v>
      </c>
      <c r="Y5" s="41"/>
      <c r="Z5" s="40"/>
      <c r="AA5" s="40"/>
    </row>
    <row r="6">
      <c r="C6" s="31"/>
      <c r="D6" s="42"/>
      <c r="E6" s="42"/>
      <c r="F6" s="32"/>
      <c r="G6" s="42"/>
      <c r="H6" s="42"/>
      <c r="I6" s="32"/>
      <c r="J6" s="37">
        <f t="shared" si="1"/>
        <v>0</v>
      </c>
      <c r="K6" s="38">
        <f t="shared" si="3"/>
        <v>0</v>
      </c>
      <c r="L6" s="39">
        <v>3.0</v>
      </c>
      <c r="M6" s="42"/>
      <c r="N6" s="38">
        <v>10.0</v>
      </c>
      <c r="O6" s="32"/>
      <c r="P6" s="32"/>
      <c r="Q6" s="32"/>
      <c r="R6" s="42"/>
      <c r="S6" s="37">
        <v>20.0</v>
      </c>
      <c r="T6" s="37">
        <f t="shared" si="2"/>
        <v>30</v>
      </c>
      <c r="U6" s="38">
        <f t="shared" si="4"/>
        <v>85</v>
      </c>
      <c r="V6" s="40"/>
      <c r="W6" s="41" t="str">
        <f>IFERROR(__xludf.DUMMYFUNCTION("""COMPUTED_VALUE"""),"Jackson Chadwick")</f>
        <v>Jackson Chadwick</v>
      </c>
      <c r="X6" s="41" t="str">
        <f>IFERROR(__xludf.DUMMYFUNCTION("""COMPUTED_VALUE"""),"Ryan Jiang")</f>
        <v>Ryan Jiang</v>
      </c>
      <c r="Y6" s="41"/>
      <c r="Z6" s="40"/>
      <c r="AA6" s="40"/>
    </row>
    <row r="7">
      <c r="C7" s="31"/>
      <c r="D7" s="42"/>
      <c r="E7" s="42"/>
      <c r="F7" s="42"/>
      <c r="G7" s="42"/>
      <c r="H7" s="32"/>
      <c r="I7" s="32"/>
      <c r="J7" s="37">
        <f t="shared" si="1"/>
        <v>0</v>
      </c>
      <c r="K7" s="38">
        <f t="shared" si="3"/>
        <v>0</v>
      </c>
      <c r="L7" s="39">
        <v>4.0</v>
      </c>
      <c r="M7" s="42"/>
      <c r="N7" s="42"/>
      <c r="O7" s="42"/>
      <c r="P7" s="38">
        <v>15.0</v>
      </c>
      <c r="Q7" s="42"/>
      <c r="R7" s="42"/>
      <c r="S7" s="38">
        <v>30.0</v>
      </c>
      <c r="T7" s="37">
        <f t="shared" si="2"/>
        <v>45</v>
      </c>
      <c r="U7" s="38">
        <f t="shared" si="4"/>
        <v>130</v>
      </c>
      <c r="V7" s="40"/>
      <c r="W7" s="41" t="str">
        <f>IFERROR(__xludf.DUMMYFUNCTION("""COMPUTED_VALUE"""),"Praveen Vinayak")</f>
        <v>Praveen Vinayak</v>
      </c>
      <c r="X7" s="41" t="str">
        <f>IFERROR(__xludf.DUMMYFUNCTION("""COMPUTED_VALUE"""),"Carter Matties")</f>
        <v>Carter Matties</v>
      </c>
      <c r="Y7" s="41"/>
      <c r="Z7" s="40"/>
      <c r="AA7" s="40"/>
    </row>
    <row r="8">
      <c r="C8" s="31"/>
      <c r="D8" s="37">
        <v>15.0</v>
      </c>
      <c r="E8" s="32"/>
      <c r="F8" s="32"/>
      <c r="G8" s="42"/>
      <c r="H8" s="42"/>
      <c r="I8" s="37">
        <v>0.0</v>
      </c>
      <c r="J8" s="37">
        <f t="shared" si="1"/>
        <v>15</v>
      </c>
      <c r="K8" s="38">
        <f t="shared" si="3"/>
        <v>15</v>
      </c>
      <c r="L8" s="39">
        <v>5.0</v>
      </c>
      <c r="M8" s="32"/>
      <c r="N8" s="42"/>
      <c r="O8" s="42"/>
      <c r="P8" s="42"/>
      <c r="Q8" s="32"/>
      <c r="R8" s="42"/>
      <c r="S8" s="32"/>
      <c r="T8" s="37">
        <f t="shared" si="2"/>
        <v>0</v>
      </c>
      <c r="U8" s="38">
        <f t="shared" si="4"/>
        <v>130</v>
      </c>
      <c r="V8" s="40"/>
      <c r="W8" s="41" t="str">
        <f>IFERROR(__xludf.DUMMYFUNCTION("""COMPUTED_VALUE"""),"")</f>
        <v/>
      </c>
      <c r="X8" s="41" t="str">
        <f>IFERROR(__xludf.DUMMYFUNCTION("""COMPUTED_VALUE"""),"Ben Kantsiper")</f>
        <v>Ben Kantsiper</v>
      </c>
      <c r="Y8" s="41"/>
      <c r="Z8" s="40"/>
      <c r="AA8" s="40"/>
    </row>
    <row r="9">
      <c r="C9" s="44"/>
      <c r="D9" s="32"/>
      <c r="E9" s="32"/>
      <c r="F9" s="32"/>
      <c r="G9" s="32"/>
      <c r="H9" s="42"/>
      <c r="I9" s="32"/>
      <c r="J9" s="37">
        <f t="shared" si="1"/>
        <v>0</v>
      </c>
      <c r="K9" s="38">
        <f t="shared" si="3"/>
        <v>15</v>
      </c>
      <c r="L9" s="39">
        <v>6.0</v>
      </c>
      <c r="M9" s="42"/>
      <c r="N9" s="42"/>
      <c r="O9" s="42"/>
      <c r="P9" s="37">
        <v>10.0</v>
      </c>
      <c r="Q9" s="42"/>
      <c r="R9" s="42"/>
      <c r="S9" s="38">
        <v>20.0</v>
      </c>
      <c r="T9" s="37">
        <f t="shared" si="2"/>
        <v>30</v>
      </c>
      <c r="U9" s="38">
        <f t="shared" si="4"/>
        <v>160</v>
      </c>
      <c r="V9" s="40"/>
      <c r="W9" s="41" t="str">
        <f>IFERROR(__xludf.DUMMYFUNCTION("""COMPUTED_VALUE"""),"")</f>
        <v/>
      </c>
      <c r="X9" s="41" t="str">
        <f>IFERROR(__xludf.DUMMYFUNCTION("""COMPUTED_VALUE"""),"")</f>
        <v/>
      </c>
      <c r="Y9" s="41"/>
      <c r="Z9" s="40"/>
      <c r="AA9" s="40"/>
    </row>
    <row r="10">
      <c r="C10" s="44"/>
      <c r="D10" s="32"/>
      <c r="E10" s="42"/>
      <c r="F10" s="32"/>
      <c r="G10" s="42"/>
      <c r="H10" s="42"/>
      <c r="I10" s="32"/>
      <c r="J10" s="37">
        <f t="shared" si="1"/>
        <v>0</v>
      </c>
      <c r="K10" s="38">
        <f t="shared" si="3"/>
        <v>15</v>
      </c>
      <c r="L10" s="39">
        <v>7.0</v>
      </c>
      <c r="M10" s="42"/>
      <c r="N10" s="38">
        <v>10.0</v>
      </c>
      <c r="O10" s="32"/>
      <c r="P10" s="42"/>
      <c r="Q10" s="42"/>
      <c r="R10" s="42"/>
      <c r="S10" s="37">
        <v>30.0</v>
      </c>
      <c r="T10" s="37">
        <f t="shared" si="2"/>
        <v>40</v>
      </c>
      <c r="U10" s="38">
        <f t="shared" si="4"/>
        <v>200</v>
      </c>
      <c r="V10" s="40"/>
      <c r="W10" s="41" t="str">
        <f>IFERROR(__xludf.DUMMYFUNCTION("""COMPUTED_VALUE"""),"")</f>
        <v/>
      </c>
      <c r="X10" s="41" t="str">
        <f>IFERROR(__xludf.DUMMYFUNCTION("""COMPUTED_VALUE"""),"")</f>
        <v/>
      </c>
      <c r="Y10" s="41"/>
      <c r="Z10" s="40"/>
      <c r="AA10" s="40"/>
    </row>
    <row r="11">
      <c r="C11" s="44"/>
      <c r="D11" s="37">
        <v>-5.0</v>
      </c>
      <c r="E11" s="42"/>
      <c r="F11" s="42"/>
      <c r="G11" s="42"/>
      <c r="H11" s="42"/>
      <c r="I11" s="32"/>
      <c r="J11" s="37">
        <f t="shared" si="1"/>
        <v>-5</v>
      </c>
      <c r="K11" s="38">
        <f t="shared" si="3"/>
        <v>10</v>
      </c>
      <c r="L11" s="39">
        <v>8.0</v>
      </c>
      <c r="M11" s="42"/>
      <c r="N11" s="38">
        <v>10.0</v>
      </c>
      <c r="O11" s="42"/>
      <c r="P11" s="42"/>
      <c r="Q11" s="42"/>
      <c r="R11" s="42"/>
      <c r="S11" s="38">
        <v>30.0</v>
      </c>
      <c r="T11" s="37">
        <f t="shared" si="2"/>
        <v>40</v>
      </c>
      <c r="U11" s="38">
        <f t="shared" si="4"/>
        <v>240</v>
      </c>
      <c r="V11" s="40"/>
      <c r="W11" s="41" t="str">
        <f>IFERROR(__xludf.DUMMYFUNCTION("""COMPUTED_VALUE"""),"")</f>
        <v/>
      </c>
      <c r="X11" s="41" t="str">
        <f>IFERROR(__xludf.DUMMYFUNCTION("""COMPUTED_VALUE"""),"")</f>
        <v/>
      </c>
      <c r="Y11" s="41"/>
      <c r="Z11" s="40"/>
      <c r="AA11" s="40"/>
    </row>
    <row r="12">
      <c r="C12" s="44"/>
      <c r="D12" s="32"/>
      <c r="E12" s="42"/>
      <c r="F12" s="42"/>
      <c r="G12" s="42"/>
      <c r="H12" s="42"/>
      <c r="I12" s="32"/>
      <c r="J12" s="37">
        <f t="shared" si="1"/>
        <v>0</v>
      </c>
      <c r="K12" s="38">
        <f t="shared" si="3"/>
        <v>10</v>
      </c>
      <c r="L12" s="39">
        <v>9.0</v>
      </c>
      <c r="M12" s="42"/>
      <c r="N12" s="32"/>
      <c r="O12" s="38">
        <v>15.0</v>
      </c>
      <c r="P12" s="42"/>
      <c r="Q12" s="42"/>
      <c r="R12" s="42"/>
      <c r="S12" s="37">
        <v>30.0</v>
      </c>
      <c r="T12" s="37">
        <f t="shared" si="2"/>
        <v>45</v>
      </c>
      <c r="U12" s="38">
        <f t="shared" si="4"/>
        <v>285</v>
      </c>
      <c r="V12" s="40"/>
      <c r="W12" s="41" t="str">
        <f>IFERROR(__xludf.DUMMYFUNCTION("""COMPUTED_VALUE"""),"")</f>
        <v/>
      </c>
      <c r="X12" s="41" t="str">
        <f>IFERROR(__xludf.DUMMYFUNCTION("""COMPUTED_VALUE"""),"")</f>
        <v/>
      </c>
      <c r="Y12" s="41"/>
      <c r="Z12" s="40"/>
      <c r="AA12" s="40"/>
    </row>
    <row r="13">
      <c r="C13" s="44"/>
      <c r="D13" s="37">
        <v>10.0</v>
      </c>
      <c r="E13" s="32"/>
      <c r="F13" s="42"/>
      <c r="G13" s="42"/>
      <c r="H13" s="42"/>
      <c r="I13" s="37">
        <v>10.0</v>
      </c>
      <c r="J13" s="37">
        <f t="shared" si="1"/>
        <v>20</v>
      </c>
      <c r="K13" s="38">
        <f t="shared" si="3"/>
        <v>30</v>
      </c>
      <c r="L13" s="39">
        <v>10.0</v>
      </c>
      <c r="M13" s="42"/>
      <c r="N13" s="42"/>
      <c r="O13" s="32"/>
      <c r="P13" s="42"/>
      <c r="Q13" s="42"/>
      <c r="R13" s="42"/>
      <c r="S13" s="32"/>
      <c r="T13" s="37">
        <f t="shared" si="2"/>
        <v>0</v>
      </c>
      <c r="U13" s="38">
        <f t="shared" si="4"/>
        <v>285</v>
      </c>
      <c r="V13" s="40"/>
      <c r="W13" s="40" t="str">
        <f>IFERROR(__xludf.DUMMYFUNCTION("""COMPUTED_VALUE"""),"")</f>
        <v/>
      </c>
      <c r="X13" s="40" t="str">
        <f>IFERROR(__xludf.DUMMYFUNCTION("""COMPUTED_VALUE"""),"")</f>
        <v/>
      </c>
      <c r="Y13" s="40"/>
      <c r="Z13" s="40"/>
      <c r="AA13" s="40"/>
    </row>
    <row r="14">
      <c r="C14" s="31"/>
      <c r="D14" s="32"/>
      <c r="E14" s="42"/>
      <c r="F14" s="42"/>
      <c r="G14" s="42"/>
      <c r="H14" s="42"/>
      <c r="I14" s="32"/>
      <c r="J14" s="37">
        <f t="shared" si="1"/>
        <v>0</v>
      </c>
      <c r="K14" s="38">
        <f t="shared" si="3"/>
        <v>30</v>
      </c>
      <c r="L14" s="39">
        <v>11.0</v>
      </c>
      <c r="M14" s="32"/>
      <c r="N14" s="38">
        <v>10.0</v>
      </c>
      <c r="O14" s="32"/>
      <c r="P14" s="42"/>
      <c r="Q14" s="42"/>
      <c r="R14" s="42"/>
      <c r="S14" s="37">
        <v>20.0</v>
      </c>
      <c r="T14" s="37">
        <f t="shared" si="2"/>
        <v>30</v>
      </c>
      <c r="U14" s="38">
        <f t="shared" si="4"/>
        <v>315</v>
      </c>
      <c r="V14" s="46"/>
      <c r="W14" s="46" t="str">
        <f>IFERROR(__xludf.DUMMYFUNCTION("""COMPUTED_VALUE"""),"")</f>
        <v/>
      </c>
      <c r="X14" s="46" t="str">
        <f>IFERROR(__xludf.DUMMYFUNCTION("""COMPUTED_VALUE"""),"")</f>
        <v/>
      </c>
      <c r="Y14" s="46"/>
      <c r="Z14" s="46"/>
      <c r="AA14" s="46"/>
    </row>
    <row r="15">
      <c r="C15" s="44"/>
      <c r="D15" s="42"/>
      <c r="E15" s="42"/>
      <c r="F15" s="32"/>
      <c r="G15" s="42"/>
      <c r="H15" s="42"/>
      <c r="I15" s="32"/>
      <c r="J15" s="37">
        <f t="shared" si="1"/>
        <v>0</v>
      </c>
      <c r="K15" s="38">
        <f t="shared" si="3"/>
        <v>30</v>
      </c>
      <c r="L15" s="39">
        <v>12.0</v>
      </c>
      <c r="M15" s="42"/>
      <c r="N15" s="37">
        <v>10.0</v>
      </c>
      <c r="O15" s="42"/>
      <c r="P15" s="42"/>
      <c r="Q15" s="42"/>
      <c r="R15" s="42"/>
      <c r="S15" s="38">
        <v>30.0</v>
      </c>
      <c r="T15" s="37">
        <f t="shared" si="2"/>
        <v>40</v>
      </c>
      <c r="U15" s="38">
        <f t="shared" si="4"/>
        <v>355</v>
      </c>
      <c r="V15" s="46"/>
      <c r="W15" s="46" t="str">
        <f>IFERROR(__xludf.DUMMYFUNCTION("""COMPUTED_VALUE"""),"")</f>
        <v/>
      </c>
      <c r="X15" s="46" t="str">
        <f>IFERROR(__xludf.DUMMYFUNCTION("""COMPUTED_VALUE"""),"")</f>
        <v/>
      </c>
      <c r="Y15" s="46"/>
      <c r="Z15" s="46"/>
      <c r="AA15" s="46"/>
    </row>
    <row r="16">
      <c r="C16" s="31"/>
      <c r="D16" s="38">
        <v>-5.0</v>
      </c>
      <c r="E16" s="42"/>
      <c r="F16" s="42"/>
      <c r="G16" s="42"/>
      <c r="H16" s="32"/>
      <c r="I16" s="32"/>
      <c r="J16" s="37">
        <f t="shared" si="1"/>
        <v>-5</v>
      </c>
      <c r="K16" s="38">
        <f t="shared" si="3"/>
        <v>25</v>
      </c>
      <c r="L16" s="39">
        <v>13.0</v>
      </c>
      <c r="M16" s="32"/>
      <c r="N16" s="38">
        <v>15.0</v>
      </c>
      <c r="O16" s="42"/>
      <c r="P16" s="42"/>
      <c r="Q16" s="42"/>
      <c r="R16" s="42"/>
      <c r="S16" s="37">
        <v>20.0</v>
      </c>
      <c r="T16" s="37">
        <f t="shared" si="2"/>
        <v>35</v>
      </c>
      <c r="U16" s="38">
        <f t="shared" si="4"/>
        <v>390</v>
      </c>
      <c r="V16" s="46"/>
      <c r="W16" s="46"/>
      <c r="X16" s="46"/>
      <c r="Y16" s="46"/>
      <c r="Z16" s="46"/>
      <c r="AA16" s="46"/>
    </row>
    <row r="17">
      <c r="C17" s="31"/>
      <c r="D17" s="42"/>
      <c r="E17" s="42"/>
      <c r="F17" s="42"/>
      <c r="G17" s="42"/>
      <c r="H17" s="42"/>
      <c r="I17" s="32"/>
      <c r="J17" s="37">
        <f t="shared" si="1"/>
        <v>0</v>
      </c>
      <c r="K17" s="38">
        <f t="shared" si="3"/>
        <v>25</v>
      </c>
      <c r="L17" s="39">
        <v>14.0</v>
      </c>
      <c r="M17" s="32"/>
      <c r="N17" s="38">
        <v>15.0</v>
      </c>
      <c r="O17" s="32"/>
      <c r="P17" s="42"/>
      <c r="Q17" s="42"/>
      <c r="R17" s="42"/>
      <c r="S17" s="37">
        <v>20.0</v>
      </c>
      <c r="T17" s="37">
        <f t="shared" si="2"/>
        <v>35</v>
      </c>
      <c r="U17" s="38">
        <f t="shared" si="4"/>
        <v>425</v>
      </c>
      <c r="V17" s="40"/>
      <c r="W17" s="40"/>
      <c r="X17" s="40"/>
      <c r="Y17" s="40"/>
      <c r="Z17" s="46"/>
      <c r="AA17" s="46"/>
    </row>
    <row r="18">
      <c r="C18" s="44"/>
      <c r="D18" s="38">
        <v>10.0</v>
      </c>
      <c r="E18" s="42"/>
      <c r="F18" s="42"/>
      <c r="G18" s="42"/>
      <c r="H18" s="42"/>
      <c r="I18" s="37">
        <v>10.0</v>
      </c>
      <c r="J18" s="37">
        <f t="shared" si="1"/>
        <v>20</v>
      </c>
      <c r="K18" s="38">
        <f t="shared" si="3"/>
        <v>45</v>
      </c>
      <c r="L18" s="39">
        <v>15.0</v>
      </c>
      <c r="M18" s="32"/>
      <c r="N18" s="42"/>
      <c r="O18" s="42"/>
      <c r="P18" s="42"/>
      <c r="Q18" s="42"/>
      <c r="R18" s="42"/>
      <c r="S18" s="32"/>
      <c r="T18" s="37">
        <f t="shared" si="2"/>
        <v>0</v>
      </c>
      <c r="U18" s="38">
        <f t="shared" si="4"/>
        <v>425</v>
      </c>
      <c r="V18" s="40" t="str">
        <f>IFERROR(__xludf.DUMMYFUNCTION("IF(NOT(EQ(C38, """")), SPLIT(C38, "";""), """")"),"")</f>
        <v/>
      </c>
      <c r="W18" s="47"/>
      <c r="X18" s="40"/>
      <c r="Y18" s="40"/>
      <c r="Z18" s="46"/>
      <c r="AA18" s="46"/>
    </row>
    <row r="19">
      <c r="C19" s="44"/>
      <c r="D19" s="42"/>
      <c r="E19" s="42"/>
      <c r="F19" s="42"/>
      <c r="G19" s="42"/>
      <c r="H19" s="42"/>
      <c r="I19" s="32"/>
      <c r="J19" s="37">
        <f t="shared" si="1"/>
        <v>0</v>
      </c>
      <c r="K19" s="38">
        <f t="shared" si="3"/>
        <v>45</v>
      </c>
      <c r="L19" s="39">
        <v>16.0</v>
      </c>
      <c r="M19" s="32"/>
      <c r="N19" s="42"/>
      <c r="O19" s="42"/>
      <c r="P19" s="38">
        <v>10.0</v>
      </c>
      <c r="Q19" s="42"/>
      <c r="R19" s="42"/>
      <c r="S19" s="37">
        <v>10.0</v>
      </c>
      <c r="T19" s="37">
        <f t="shared" si="2"/>
        <v>20</v>
      </c>
      <c r="U19" s="38">
        <f t="shared" si="4"/>
        <v>445</v>
      </c>
      <c r="V19" s="40" t="str">
        <f t="shared" ref="V19:Y19" si="5">TRIM(V18)</f>
        <v/>
      </c>
      <c r="W19" s="40" t="str">
        <f t="shared" si="5"/>
        <v/>
      </c>
      <c r="X19" s="40" t="str">
        <f t="shared" si="5"/>
        <v/>
      </c>
      <c r="Y19" s="40" t="str">
        <f t="shared" si="5"/>
        <v/>
      </c>
      <c r="Z19" s="46"/>
      <c r="AA19" s="46"/>
    </row>
    <row r="20">
      <c r="C20" s="48"/>
      <c r="D20" s="49"/>
      <c r="E20" s="50"/>
      <c r="F20" s="49"/>
      <c r="G20" s="50"/>
      <c r="H20" s="49"/>
      <c r="I20" s="51"/>
      <c r="J20" s="52">
        <f t="shared" si="1"/>
        <v>0</v>
      </c>
      <c r="K20" s="53">
        <f t="shared" si="3"/>
        <v>45</v>
      </c>
      <c r="L20" s="54">
        <v>17.0</v>
      </c>
      <c r="M20" s="55"/>
      <c r="N20" s="49"/>
      <c r="O20" s="56"/>
      <c r="P20" s="49"/>
      <c r="Q20" s="56"/>
      <c r="R20" s="49"/>
      <c r="S20" s="51"/>
      <c r="T20" s="52">
        <f t="shared" si="2"/>
        <v>0</v>
      </c>
      <c r="U20" s="53">
        <f t="shared" si="4"/>
        <v>445</v>
      </c>
      <c r="V20" s="40" t="b">
        <f t="shared" ref="V20:Y20" si="6">EQ(V19,"")</f>
        <v>1</v>
      </c>
      <c r="W20" s="40" t="b">
        <f t="shared" si="6"/>
        <v>1</v>
      </c>
      <c r="X20" s="40" t="b">
        <f t="shared" si="6"/>
        <v>1</v>
      </c>
      <c r="Y20" s="40" t="b">
        <f t="shared" si="6"/>
        <v>1</v>
      </c>
      <c r="Z20" s="46"/>
      <c r="AA20" s="46"/>
    </row>
    <row r="21">
      <c r="C21" s="44"/>
      <c r="D21" s="38">
        <v>10.0</v>
      </c>
      <c r="E21" s="42"/>
      <c r="F21" s="42"/>
      <c r="G21" s="42"/>
      <c r="H21" s="42"/>
      <c r="I21" s="37">
        <v>0.0</v>
      </c>
      <c r="J21" s="37">
        <f t="shared" si="1"/>
        <v>10</v>
      </c>
      <c r="K21" s="38">
        <f t="shared" si="3"/>
        <v>55</v>
      </c>
      <c r="L21" s="39">
        <v>18.0</v>
      </c>
      <c r="M21" s="42"/>
      <c r="N21" s="32"/>
      <c r="O21" s="42"/>
      <c r="P21" s="42"/>
      <c r="Q21" s="42"/>
      <c r="R21" s="42"/>
      <c r="S21" s="32"/>
      <c r="T21" s="37">
        <f t="shared" si="2"/>
        <v>0</v>
      </c>
      <c r="U21" s="38">
        <f t="shared" si="4"/>
        <v>445</v>
      </c>
      <c r="V21" s="57" t="b">
        <f>EQ(UPPER(C2), LEFT(UPPER(V19), LEN(C2)))</f>
        <v>0</v>
      </c>
      <c r="W21" s="57" t="b">
        <f>EQ(UPPER(C2), LEFT(UPPER(W19), LEN(C2)))</f>
        <v>0</v>
      </c>
      <c r="X21" s="57" t="b">
        <f>EQ(UPPER(C2), LEFT(UPPER(X19), LEN(C2)))</f>
        <v>0</v>
      </c>
      <c r="Y21" s="57" t="b">
        <f>EQ(UPPER(C2), LEFT(UPPER(Y19), LEN(C2)))</f>
        <v>0</v>
      </c>
      <c r="Z21" s="46"/>
      <c r="AA21" s="46"/>
    </row>
    <row r="22">
      <c r="C22" s="44"/>
      <c r="D22" s="42"/>
      <c r="E22" s="42"/>
      <c r="F22" s="42"/>
      <c r="G22" s="42"/>
      <c r="H22" s="42"/>
      <c r="I22" s="42"/>
      <c r="J22" s="37">
        <f t="shared" si="1"/>
        <v>0</v>
      </c>
      <c r="K22" s="38">
        <f t="shared" si="3"/>
        <v>55</v>
      </c>
      <c r="L22" s="39">
        <v>19.0</v>
      </c>
      <c r="M22" s="42"/>
      <c r="N22" s="38">
        <v>15.0</v>
      </c>
      <c r="O22" s="32"/>
      <c r="P22" s="42"/>
      <c r="Q22" s="42"/>
      <c r="R22" s="42"/>
      <c r="S22" s="37">
        <v>10.0</v>
      </c>
      <c r="T22" s="37">
        <f t="shared" si="2"/>
        <v>25</v>
      </c>
      <c r="U22" s="38">
        <f t="shared" si="4"/>
        <v>470</v>
      </c>
      <c r="V22" s="57" t="b">
        <f>EQ(UPPER(M2), LEFT(UPPER(V19), LEN(M2)))</f>
        <v>0</v>
      </c>
      <c r="W22" s="57" t="b">
        <f>EQ(UPPER(M2), LEFT(UPPER(W19), LEN(M2)))</f>
        <v>0</v>
      </c>
      <c r="X22" s="40" t="b">
        <f>EQ(UPPER(M2), LEFT(UPPER(X19), LEN(M2)))</f>
        <v>0</v>
      </c>
      <c r="Y22" s="57" t="b">
        <f>EQ(UPPER(M2), LEFT(UPPER(Y19), LEN(M2)))</f>
        <v>0</v>
      </c>
      <c r="Z22" s="46"/>
      <c r="AA22" s="46"/>
    </row>
    <row r="23">
      <c r="C23" s="58"/>
      <c r="D23" s="59"/>
      <c r="E23" s="60"/>
      <c r="F23" s="59"/>
      <c r="G23" s="60"/>
      <c r="H23" s="59"/>
      <c r="I23" s="62"/>
      <c r="J23" s="63">
        <f t="shared" si="1"/>
        <v>0</v>
      </c>
      <c r="K23" s="64">
        <f t="shared" si="3"/>
        <v>55</v>
      </c>
      <c r="L23" s="65">
        <v>20.0</v>
      </c>
      <c r="M23" s="30"/>
      <c r="N23" s="59"/>
      <c r="O23" s="66"/>
      <c r="P23" s="59"/>
      <c r="Q23" s="66"/>
      <c r="R23" s="59"/>
      <c r="S23" s="118"/>
      <c r="T23" s="63">
        <f t="shared" si="2"/>
        <v>0</v>
      </c>
      <c r="U23" s="64">
        <f t="shared" si="4"/>
        <v>470</v>
      </c>
      <c r="V23" s="57" t="b">
        <f>IFERROR(__xludf.DUMMYFUNCTION("IFERROR(OR(REGEXEXTRACT(V19, ""[0-9]+ :|[0-9]+:""), True), False)"),FALSE)</f>
        <v>0</v>
      </c>
      <c r="W23" s="57" t="b">
        <f>IFERROR(__xludf.DUMMYFUNCTION("IFERROR(OR(REGEXEXTRACT(W19, ""[0-9]+ :|[0-9]+:""), True), False)"),FALSE)</f>
        <v>0</v>
      </c>
      <c r="X23" s="57" t="b">
        <f>IFERROR(__xludf.DUMMYFUNCTION("IFERROR(OR(REGEXEXTRACT(X19, ""[0-9]+ :|[0-9]+:""), True), False)"),FALSE)</f>
        <v>0</v>
      </c>
      <c r="Y23" s="57" t="b">
        <f>IFERROR(__xludf.DUMMYFUNCTION("IFERROR(OR(REGEXEXTRACT(Y19, ""[0-9]+ :|[0-9]+:""), True), False)"),FALSE)</f>
        <v>0</v>
      </c>
      <c r="Z23" s="46"/>
      <c r="AA23" s="46"/>
    </row>
    <row r="24">
      <c r="C24" s="67"/>
      <c r="D24" s="59"/>
      <c r="E24" s="60"/>
      <c r="F24" s="61"/>
      <c r="G24" s="60"/>
      <c r="H24" s="59"/>
      <c r="I24" s="62" t="s">
        <v>59</v>
      </c>
      <c r="J24" s="63">
        <f t="shared" ref="J24:J27" si="8">IF(COUNTA(C24:H24)&lt;=1, IF(AND(OR(C24&lt;0, D24&lt;0, E24&lt;0, F24&lt;0, G24&lt;0, H24&lt;0), I24&gt;0), "BON.ERR", SUM(C24:H24)), "NEG.ERR")</f>
        <v>0</v>
      </c>
      <c r="K24" s="64">
        <f t="shared" si="3"/>
        <v>55</v>
      </c>
      <c r="L24" s="68" t="s">
        <v>60</v>
      </c>
      <c r="M24" s="66"/>
      <c r="N24" s="59"/>
      <c r="O24" s="66"/>
      <c r="P24" s="59"/>
      <c r="Q24" s="66"/>
      <c r="R24" s="59"/>
      <c r="S24" s="62" t="s">
        <v>59</v>
      </c>
      <c r="T24" s="63">
        <f t="shared" ref="T24:T27" si="9">IF(COUNTA(M24:R24)&lt;=1, IF(AND(OR(M24&lt;0, N24&lt;0, O24&lt;0, P24&lt;0, Q24&lt;0, R24&lt;0), S24&gt;0), "BON.ERR", SUM(M24:R24)), "NEG.ERR")</f>
        <v>0</v>
      </c>
      <c r="U24" s="64">
        <f t="shared" si="4"/>
        <v>470</v>
      </c>
      <c r="V24" s="57" t="b">
        <f t="shared" ref="V24:W24" si="7">IFERROR(IF(V21, AND(FIND(UPPER(C3), UPPER(V19)) &gt; 0, NOT(EQ(C3,""))), AND(FIND(UPPER(M3), UPPER(V19)) &gt; 0, NOT(EQ(M3,"")))), FALSE)</f>
        <v>0</v>
      </c>
      <c r="W24" s="57" t="b">
        <f t="shared" si="7"/>
        <v>0</v>
      </c>
      <c r="X24" s="57" t="b">
        <f>IFERROR(IF(X21, AND(FIND(UPPER(C3), UPPER(X19)) &gt; 0, NOT(EQ(C3,""))), AND(FIND(UPPER(M3), UPPER(X19)) &gt; 0, NOT(EQ(M3,"")))), FALSE)</f>
        <v>0</v>
      </c>
      <c r="Y24" s="57" t="b">
        <f>IFERROR(IF(Y21, AND(FIND(UPPER(C3), UPPER(Y19)) &gt; 0, NOT(EQ(C3,""))), AND(FIND(UPPER(M3), UPPER(Y19)) &gt; 0, NOT(EQ(M3,"")))), FALSE)</f>
        <v>0</v>
      </c>
      <c r="Z24" s="46"/>
      <c r="AA24" s="46"/>
    </row>
    <row r="25">
      <c r="C25" s="67"/>
      <c r="D25" s="61"/>
      <c r="E25" s="60"/>
      <c r="F25" s="59"/>
      <c r="G25" s="60"/>
      <c r="H25" s="59"/>
      <c r="I25" s="62" t="s">
        <v>59</v>
      </c>
      <c r="J25" s="63">
        <f t="shared" si="8"/>
        <v>0</v>
      </c>
      <c r="K25" s="64">
        <f t="shared" si="3"/>
        <v>55</v>
      </c>
      <c r="L25" s="25"/>
      <c r="M25" s="66"/>
      <c r="N25" s="59"/>
      <c r="O25" s="66"/>
      <c r="P25" s="59"/>
      <c r="Q25" s="66"/>
      <c r="R25" s="59"/>
      <c r="S25" s="62" t="s">
        <v>59</v>
      </c>
      <c r="T25" s="63">
        <f t="shared" si="9"/>
        <v>0</v>
      </c>
      <c r="U25" s="64">
        <f t="shared" si="4"/>
        <v>470</v>
      </c>
      <c r="V25" s="57" t="b">
        <f t="shared" ref="V25:W25" si="10">IFERROR(IF(V21, AND(FIND(UPPER(D3), UPPER(V19)) &gt; 0, NOT(EQ(D3,""))), AND(FIND(UPPER(N3), UPPER(V19)) &gt; 0, NOT(EQ(N3,"")))), FALSE)</f>
        <v>0</v>
      </c>
      <c r="W25" s="57" t="b">
        <f t="shared" si="10"/>
        <v>0</v>
      </c>
      <c r="X25" s="57" t="b">
        <f>IFERROR(IF(X21, AND(FIND(UPPER(D3), UPPER(X19)) &gt; 0, NOT(EQ(D3,""))), AND(FIND(UPPER(N3), UPPER(X19)) &gt; 0, NOT(EQ(N3,"")))), FALSE)</f>
        <v>0</v>
      </c>
      <c r="Y25" s="57" t="b">
        <f>IFERROR(IF(Y21, AND(FIND(UPPER(D3), UPPER(Y19)) &gt; 0, NOT(EQ(D3,""))), AND(FIND(UPPER(N3), UPPER(Y19)) &gt; 0, NOT(EQ(N3,"")))), FALSE)</f>
        <v>0</v>
      </c>
      <c r="Z25" s="46"/>
      <c r="AA25" s="46"/>
    </row>
    <row r="26">
      <c r="C26" s="67"/>
      <c r="D26" s="59"/>
      <c r="E26" s="60"/>
      <c r="F26" s="59"/>
      <c r="G26" s="60"/>
      <c r="H26" s="59"/>
      <c r="I26" s="62" t="s">
        <v>59</v>
      </c>
      <c r="J26" s="63">
        <f t="shared" si="8"/>
        <v>0</v>
      </c>
      <c r="K26" s="64">
        <f t="shared" si="3"/>
        <v>55</v>
      </c>
      <c r="L26" s="25"/>
      <c r="M26" s="66"/>
      <c r="N26" s="59"/>
      <c r="O26" s="66"/>
      <c r="P26" s="59"/>
      <c r="Q26" s="66"/>
      <c r="R26" s="59"/>
      <c r="S26" s="62" t="s">
        <v>59</v>
      </c>
      <c r="T26" s="63">
        <f t="shared" si="9"/>
        <v>0</v>
      </c>
      <c r="U26" s="64">
        <f t="shared" si="4"/>
        <v>470</v>
      </c>
      <c r="V26" s="57" t="b">
        <f t="shared" ref="V26:W26" si="11">IFERROR(IF(V21, AND(FIND(UPPER(E3), UPPER(V19)) &gt; 0, NOT(EQ(E3,""))), AND(FIND(UPPER(O3), UPPER(V19)) &gt; 0, NOT(EQ(O3,"")))), FALSE)</f>
        <v>0</v>
      </c>
      <c r="W26" s="57" t="b">
        <f t="shared" si="11"/>
        <v>0</v>
      </c>
      <c r="X26" s="57" t="b">
        <f>IFERROR(IF(X21, AND(FIND(UPPER(E3), UPPER(X19)) &gt; 0, NOT(EQ(E3,""))), AND(FIND(UPPER(O3), UPPER(X19)) &gt; 0, NOT(EQ(O3,"")))), FALSE)</f>
        <v>0</v>
      </c>
      <c r="Y26" s="57" t="b">
        <f>IFERROR(IF(Y21, AND(FIND(UPPER(E3), UPPER(Y19)) &gt; 0, NOT(EQ(E3,""))), AND(FIND(UPPER(O3), UPPER(Y19)) &gt; 0, NOT(EQ(O3,"")))), FALSE)</f>
        <v>0</v>
      </c>
      <c r="Z26" s="46"/>
      <c r="AA26" s="46"/>
    </row>
    <row r="27">
      <c r="C27" s="67"/>
      <c r="D27" s="59"/>
      <c r="E27" s="60"/>
      <c r="F27" s="59"/>
      <c r="G27" s="60"/>
      <c r="H27" s="59"/>
      <c r="I27" s="62" t="s">
        <v>59</v>
      </c>
      <c r="J27" s="63">
        <f t="shared" si="8"/>
        <v>0</v>
      </c>
      <c r="K27" s="64">
        <f t="shared" si="3"/>
        <v>55</v>
      </c>
      <c r="L27" s="69"/>
      <c r="M27" s="66"/>
      <c r="N27" s="59"/>
      <c r="O27" s="66"/>
      <c r="P27" s="59"/>
      <c r="Q27" s="66"/>
      <c r="R27" s="59"/>
      <c r="S27" s="62" t="s">
        <v>59</v>
      </c>
      <c r="T27" s="63">
        <f t="shared" si="9"/>
        <v>0</v>
      </c>
      <c r="U27" s="64">
        <f t="shared" si="4"/>
        <v>470</v>
      </c>
      <c r="V27" s="57" t="b">
        <f t="shared" ref="V27:W27" si="12">IFERROR(IF(V21, AND(FIND(UPPER(F3), UPPER(V19)) &gt; 0, NOT(EQ(F3,""))), AND(FIND(UPPER(P3), UPPER(V19)) &gt; 0, NOT(EQ(P3,"")))), FALSE)</f>
        <v>0</v>
      </c>
      <c r="W27" s="57" t="b">
        <f t="shared" si="12"/>
        <v>0</v>
      </c>
      <c r="X27" s="57" t="b">
        <f>IFERROR(IF(X21, AND(FIND(UPPER(F3), UPPER(X19)) &gt; 0, NOT(EQ(F3,""))), AND(FIND(UPPER(P3), UPPER(X19)) &gt; 0, NOT(EQ(P3,"")))), FALSE)</f>
        <v>0</v>
      </c>
      <c r="Y27" s="57" t="b">
        <f>IFERROR(IF(Y21, AND(FIND(UPPER(F3), UPPER(Y19)) &gt; 0, NOT(EQ(F3,""))), AND(FIND(UPPER(P3), UPPER(Y19)) &gt; 0, NOT(EQ(P3,"")))), FALSE)</f>
        <v>0</v>
      </c>
      <c r="Z27" s="46"/>
      <c r="AA27" s="46"/>
    </row>
    <row r="28">
      <c r="B28" s="70">
        <v>15.0</v>
      </c>
      <c r="C28" s="71">
        <f t="shared" ref="C28:H28" si="13">COUNTIF(C4:C27, "=15")</f>
        <v>0</v>
      </c>
      <c r="D28" s="72">
        <f t="shared" si="13"/>
        <v>1</v>
      </c>
      <c r="E28" s="71">
        <f t="shared" si="13"/>
        <v>0</v>
      </c>
      <c r="F28" s="72">
        <f t="shared" si="13"/>
        <v>0</v>
      </c>
      <c r="G28" s="71">
        <f t="shared" si="13"/>
        <v>0</v>
      </c>
      <c r="H28" s="72">
        <f t="shared" si="13"/>
        <v>0</v>
      </c>
      <c r="I28" s="73" t="s">
        <v>61</v>
      </c>
      <c r="J28" s="74"/>
      <c r="K28" s="75" t="s">
        <v>62</v>
      </c>
      <c r="L28" s="76">
        <v>15.0</v>
      </c>
      <c r="M28" s="77">
        <f t="shared" ref="M28:R28" si="14">COUNTIF(M4:M27, "=15")</f>
        <v>1</v>
      </c>
      <c r="N28" s="78">
        <f t="shared" si="14"/>
        <v>3</v>
      </c>
      <c r="O28" s="77">
        <f t="shared" si="14"/>
        <v>1</v>
      </c>
      <c r="P28" s="78">
        <f t="shared" si="14"/>
        <v>1</v>
      </c>
      <c r="Q28" s="77">
        <f t="shared" si="14"/>
        <v>0</v>
      </c>
      <c r="R28" s="78">
        <f t="shared" si="14"/>
        <v>0</v>
      </c>
      <c r="S28" s="79" t="s">
        <v>61</v>
      </c>
      <c r="T28" s="74"/>
      <c r="U28" s="80" t="s">
        <v>62</v>
      </c>
      <c r="V28" s="57" t="b">
        <f t="shared" ref="V28:W28" si="15">IFERROR(IF(V21, AND(FIND(UPPER(G3), UPPER(V19)) &gt; 0, NOT(EQ(G3,""))), AND(FIND(UPPER(Q3), UPPER(V19)) &gt; 0, NOT(EQ(Q3,"")))), FALSE)</f>
        <v>0</v>
      </c>
      <c r="W28" s="57" t="b">
        <f t="shared" si="15"/>
        <v>0</v>
      </c>
      <c r="X28" s="57" t="b">
        <f>IFERROR(IF(X21, AND(FIND(UPPER(G3), UPPER(X19)) &gt; 0, NOT(EQ(G3,""))), AND(FIND(UPPER(Q3), UPPER(X19)) &gt; 0, NOT(EQ(Q3,"")))), FALSE)</f>
        <v>0</v>
      </c>
      <c r="Y28" s="57" t="b">
        <f>IFERROR(IF(Y21, AND(FIND(UPPER(G3), UPPER(Y19)) &gt; 0, NOT(EQ(G3,""))), AND(FIND(UPPER(Q3), UPPER(Y19)) &gt; 0, NOT(EQ(Q3,"")))), FALSE)</f>
        <v>0</v>
      </c>
      <c r="Z28" s="46"/>
      <c r="AA28" s="46"/>
    </row>
    <row r="29">
      <c r="B29" s="81">
        <v>10.0</v>
      </c>
      <c r="C29" s="82">
        <f t="shared" ref="C29:H29" si="16">COUNTIF(C4:C27, "=10")</f>
        <v>0</v>
      </c>
      <c r="D29" s="83">
        <f t="shared" si="16"/>
        <v>3</v>
      </c>
      <c r="E29" s="82">
        <f t="shared" si="16"/>
        <v>0</v>
      </c>
      <c r="F29" s="83">
        <f t="shared" si="16"/>
        <v>0</v>
      </c>
      <c r="G29" s="82">
        <f t="shared" si="16"/>
        <v>0</v>
      </c>
      <c r="H29" s="83">
        <f t="shared" si="16"/>
        <v>0</v>
      </c>
      <c r="I29" s="84"/>
      <c r="J29" s="25"/>
      <c r="K29" s="85"/>
      <c r="L29" s="86">
        <v>10.0</v>
      </c>
      <c r="M29" s="87">
        <f t="shared" ref="M29:R29" si="17">COUNTIF(M4:M27, "=10")</f>
        <v>0</v>
      </c>
      <c r="N29" s="88">
        <f t="shared" si="17"/>
        <v>5</v>
      </c>
      <c r="O29" s="87">
        <f t="shared" si="17"/>
        <v>0</v>
      </c>
      <c r="P29" s="88">
        <f t="shared" si="17"/>
        <v>3</v>
      </c>
      <c r="Q29" s="87">
        <f t="shared" si="17"/>
        <v>0</v>
      </c>
      <c r="R29" s="88">
        <f t="shared" si="17"/>
        <v>0</v>
      </c>
      <c r="S29" s="84"/>
      <c r="T29" s="25"/>
      <c r="U29" s="85"/>
      <c r="V29" s="57" t="b">
        <f>IFERROR(IF(V21, AND(FIND(UPPER(H3), UPPER(V19)) &gt; 0, NOT(EQ(H3,""))), AND(FIND(UPPER(R3), UPPER(V19)) &gt; 0, NOT(EQ(R3,"")))), FALSE)</f>
        <v>0</v>
      </c>
      <c r="W29" s="57" t="b">
        <f>IFERROR(IF(W21, AND(FIND(UPPER(C3), UPPER(W19)) &gt; 0, NOT(EQ(C3,""))), AND(FIND(UPPER(M3), UPPER(W19)) &gt; 0, NOT(EQ(M3,"")))), FALSE)</f>
        <v>0</v>
      </c>
      <c r="X29" s="57" t="b">
        <f>IFERROR(IF(X21, AND(FIND(UPPER(H3), UPPER(X19)) &gt; 0, NOT(EQ(H3,""))), AND(FIND(UPPER(R3), UPPER(X19)) &gt; 0, NOT(EQ(R3,"")))), FALSE)</f>
        <v>0</v>
      </c>
      <c r="Y29" s="57" t="b">
        <f>IFERROR(IF(Y21, AND(FIND(UPPER(H3), UPPER(Y19)) &gt; 0, NOT(EQ(H3,""))), AND(FIND(UPPER(R3), UPPER(Y19)) &gt; 0, NOT(EQ(R3,"")))), FALSE)</f>
        <v>0</v>
      </c>
      <c r="Z29" s="46"/>
      <c r="AA29" s="46"/>
    </row>
    <row r="30">
      <c r="B30" s="81">
        <v>-5.0</v>
      </c>
      <c r="C30" s="89">
        <f t="shared" ref="C30:H30" si="18">COUNTIF(C4:C27, "=-5")</f>
        <v>0</v>
      </c>
      <c r="D30" s="90">
        <f t="shared" si="18"/>
        <v>2</v>
      </c>
      <c r="E30" s="89">
        <f t="shared" si="18"/>
        <v>0</v>
      </c>
      <c r="F30" s="90">
        <f t="shared" si="18"/>
        <v>0</v>
      </c>
      <c r="G30" s="89">
        <f t="shared" si="18"/>
        <v>0</v>
      </c>
      <c r="H30" s="90">
        <f t="shared" si="18"/>
        <v>0</v>
      </c>
      <c r="I30" s="91">
        <f>sum(I4:I23)</f>
        <v>20</v>
      </c>
      <c r="J30" s="25"/>
      <c r="K30" s="92">
        <f>IFERROR(I30/SUM(C28:G29), 0)</f>
        <v>5</v>
      </c>
      <c r="L30" s="86">
        <v>-5.0</v>
      </c>
      <c r="M30" s="93">
        <f t="shared" ref="M30:R30" si="19">COUNTIF(M4:M27, "=-5")</f>
        <v>0</v>
      </c>
      <c r="N30" s="94">
        <f t="shared" si="19"/>
        <v>0</v>
      </c>
      <c r="O30" s="93">
        <f t="shared" si="19"/>
        <v>0</v>
      </c>
      <c r="P30" s="94">
        <f t="shared" si="19"/>
        <v>0</v>
      </c>
      <c r="Q30" s="93">
        <f t="shared" si="19"/>
        <v>0</v>
      </c>
      <c r="R30" s="94">
        <f t="shared" si="19"/>
        <v>0</v>
      </c>
      <c r="S30" s="95">
        <f>sum(S4:S23)</f>
        <v>300</v>
      </c>
      <c r="T30" s="25"/>
      <c r="U30" s="96">
        <f>IFERROR(S30/SUM(M28:Q29), 0)</f>
        <v>21.42857143</v>
      </c>
      <c r="V30" s="57" t="b">
        <f t="shared" ref="V30:W30" si="20">AND(IF(AND(COUNTIF(V24:V29, TRUE)=2, IFERROR(FIND("-", V19) &gt; 0, TRUE)), TRUE, IF(AND(COUNTIF(V24:V29, TRUE)=1, IFERROR(FIND("-", V19) &gt; 0, FALSE)), TRUE, FALSE)),V23)</f>
        <v>0</v>
      </c>
      <c r="W30" s="57" t="b">
        <f t="shared" si="20"/>
        <v>0</v>
      </c>
      <c r="X30" s="57" t="b">
        <f>AND(IF(AND(COUNTIF(X24:X29, TRUE)= 2, IFERROR(FIND("-", X19) &gt; 0, TRUE)), TRUE, IF(AND(COUNTIF(X24:X29,TRUE)=1, IFERROR(FIND("-", X19) &gt; 0, FALSE)), TRUE, FALSE)),X23)</f>
        <v>0</v>
      </c>
      <c r="Y30" s="57" t="b">
        <f>AND(IF(AND(COUNTIF(Y24:Y29, TRUE)=2, IFERROR(FIND("-", Y19) &gt; 0, TRUE)), TRUE, IF(AND(COUNTIF(Y24:Y29, TRUE)=1, IFERROR(FIND("-", Y19) &gt; 0, FALSE)), TRUE, FALSE)),Y23)</f>
        <v>0</v>
      </c>
      <c r="Z30" s="46"/>
      <c r="AA30" s="46"/>
    </row>
    <row r="31">
      <c r="B31" s="97" t="s">
        <v>63</v>
      </c>
      <c r="C31" s="98">
        <f t="shared" ref="C31:H31" si="21">(C28*15)+(C29*10)+(C30*-5)</f>
        <v>0</v>
      </c>
      <c r="D31" s="99">
        <f t="shared" si="21"/>
        <v>35</v>
      </c>
      <c r="E31" s="98">
        <f t="shared" si="21"/>
        <v>0</v>
      </c>
      <c r="F31" s="99">
        <f t="shared" si="21"/>
        <v>0</v>
      </c>
      <c r="G31" s="98">
        <f t="shared" si="21"/>
        <v>0</v>
      </c>
      <c r="H31" s="99">
        <f t="shared" si="21"/>
        <v>0</v>
      </c>
      <c r="I31" s="100"/>
      <c r="J31" s="69"/>
      <c r="K31" s="101"/>
      <c r="L31" s="102" t="s">
        <v>63</v>
      </c>
      <c r="M31" s="103">
        <f t="shared" ref="M31:R31" si="22">(M28*15)+(M29*10)+(M30*-5)</f>
        <v>15</v>
      </c>
      <c r="N31" s="99">
        <f t="shared" si="22"/>
        <v>95</v>
      </c>
      <c r="O31" s="103">
        <f t="shared" si="22"/>
        <v>15</v>
      </c>
      <c r="P31" s="99">
        <f t="shared" si="22"/>
        <v>45</v>
      </c>
      <c r="Q31" s="103">
        <f t="shared" si="22"/>
        <v>0</v>
      </c>
      <c r="R31" s="99">
        <f t="shared" si="22"/>
        <v>0</v>
      </c>
      <c r="S31" s="100"/>
      <c r="T31" s="69"/>
      <c r="U31" s="101"/>
      <c r="V31" s="40" t="b">
        <f t="shared" ref="V31:Y31" si="23">OR(AND(V30, OR(V21,V22)),V20)</f>
        <v>1</v>
      </c>
      <c r="W31" s="40" t="b">
        <f t="shared" si="23"/>
        <v>1</v>
      </c>
      <c r="X31" s="40" t="b">
        <f t="shared" si="23"/>
        <v>1</v>
      </c>
      <c r="Y31" s="40" t="b">
        <f t="shared" si="23"/>
        <v>1</v>
      </c>
      <c r="Z31" s="46"/>
      <c r="AA31" s="46"/>
    </row>
    <row r="32">
      <c r="B32" s="104">
        <f>K27</f>
        <v>55</v>
      </c>
      <c r="I32" s="25"/>
      <c r="J32" s="105" t="s">
        <v>64</v>
      </c>
      <c r="K32" s="106"/>
      <c r="L32" s="106"/>
      <c r="M32" s="74"/>
      <c r="N32" s="107">
        <f>U27</f>
        <v>470</v>
      </c>
      <c r="O32" s="106"/>
      <c r="P32" s="106"/>
      <c r="Q32" s="106"/>
      <c r="R32" s="106"/>
      <c r="S32" s="106"/>
      <c r="T32" s="106"/>
      <c r="U32" s="74"/>
      <c r="V32" s="40" t="b">
        <f>AND(V31:Y31)</f>
        <v>1</v>
      </c>
      <c r="W32" s="40"/>
      <c r="X32" s="40"/>
      <c r="Y32" s="40"/>
      <c r="Z32" s="46"/>
      <c r="AA32" s="46"/>
    </row>
    <row r="33">
      <c r="B33" s="84"/>
      <c r="I33" s="25"/>
      <c r="J33" s="84"/>
      <c r="M33" s="25"/>
      <c r="N33" s="84"/>
      <c r="U33" s="25"/>
      <c r="V33" s="40"/>
      <c r="W33" s="40"/>
      <c r="X33" s="40"/>
      <c r="Y33" s="40"/>
      <c r="Z33" s="46"/>
      <c r="AA33" s="46"/>
    </row>
    <row r="34">
      <c r="B34" s="100"/>
      <c r="C34" s="109"/>
      <c r="D34" s="109"/>
      <c r="E34" s="109"/>
      <c r="F34" s="109"/>
      <c r="G34" s="109"/>
      <c r="H34" s="109"/>
      <c r="I34" s="69"/>
      <c r="J34" s="100"/>
      <c r="K34" s="109"/>
      <c r="L34" s="109"/>
      <c r="M34" s="69"/>
      <c r="N34" s="100"/>
      <c r="O34" s="109"/>
      <c r="P34" s="109"/>
      <c r="Q34" s="109"/>
      <c r="R34" s="109"/>
      <c r="S34" s="109"/>
      <c r="T34" s="109"/>
      <c r="U34" s="69"/>
      <c r="V34" s="46"/>
      <c r="W34" s="46"/>
      <c r="X34" s="46"/>
      <c r="Y34" s="46"/>
      <c r="Z34" s="46"/>
      <c r="AA34" s="46"/>
    </row>
    <row r="35">
      <c r="V35" s="46"/>
      <c r="W35" s="46"/>
      <c r="X35" s="46"/>
      <c r="Y35" s="46"/>
      <c r="Z35" s="46"/>
      <c r="AA35" s="40"/>
    </row>
    <row r="36">
      <c r="V36" s="46"/>
      <c r="W36" s="46"/>
      <c r="X36" s="46"/>
      <c r="Y36" s="46"/>
      <c r="Z36" s="46"/>
      <c r="AA36" s="40"/>
    </row>
    <row r="37">
      <c r="C37" s="156"/>
      <c r="V37" s="46"/>
      <c r="W37" s="46"/>
      <c r="X37" s="46"/>
      <c r="Y37" s="46"/>
      <c r="Z37" s="46"/>
      <c r="AA37" s="40"/>
    </row>
    <row r="38">
      <c r="C38" s="111"/>
      <c r="V38" s="46"/>
      <c r="W38" s="46"/>
      <c r="X38" s="46"/>
      <c r="Y38" s="46"/>
      <c r="Z38" s="46"/>
      <c r="AA38" s="40"/>
    </row>
    <row r="39">
      <c r="V39" s="46"/>
      <c r="W39" s="46"/>
      <c r="X39" s="46"/>
      <c r="Y39" s="46"/>
      <c r="Z39" s="46"/>
      <c r="AA39" s="40"/>
    </row>
    <row r="40">
      <c r="V40" s="46"/>
      <c r="W40" s="46"/>
      <c r="X40" s="46"/>
      <c r="Y40" s="112"/>
      <c r="Z40" s="112"/>
      <c r="AA40" s="40"/>
    </row>
    <row r="41">
      <c r="V41" s="46"/>
      <c r="W41" s="46"/>
      <c r="X41" s="46"/>
      <c r="Y41" s="46"/>
      <c r="Z41" s="46"/>
      <c r="AA41" s="40"/>
    </row>
    <row r="42">
      <c r="V42" s="46"/>
      <c r="W42" s="46"/>
      <c r="X42" s="46"/>
      <c r="Y42" s="46"/>
      <c r="Z42" s="46"/>
      <c r="AA42" s="40"/>
    </row>
    <row r="43">
      <c r="V43" s="46"/>
      <c r="W43" s="46"/>
      <c r="X43" s="46"/>
      <c r="Y43" s="46"/>
      <c r="Z43" s="46"/>
      <c r="AA43" s="40"/>
    </row>
    <row r="44">
      <c r="C44" s="113"/>
      <c r="F44" s="113"/>
      <c r="G44" s="113"/>
      <c r="V44" s="114"/>
      <c r="W44" s="46"/>
      <c r="X44" s="46"/>
      <c r="Y44" s="46"/>
      <c r="Z44" s="46"/>
      <c r="AA44" s="40"/>
    </row>
    <row r="45">
      <c r="C45" s="113"/>
      <c r="F45" s="113"/>
      <c r="G45" s="113"/>
      <c r="V45" s="40"/>
      <c r="W45" s="40"/>
      <c r="X45" s="40"/>
      <c r="Y45" s="40"/>
      <c r="Z45" s="40"/>
      <c r="AA45" s="40"/>
    </row>
    <row r="46">
      <c r="C46" s="115" t="s">
        <v>66</v>
      </c>
      <c r="F46" s="113"/>
      <c r="G46" s="113"/>
      <c r="V46" s="40"/>
      <c r="W46" s="40"/>
      <c r="X46" s="40"/>
      <c r="Y46" s="40"/>
      <c r="Z46" s="40"/>
      <c r="AA46" s="40"/>
    </row>
    <row r="47">
      <c r="C47" s="116"/>
      <c r="V47" s="40"/>
      <c r="W47" s="40"/>
      <c r="X47" s="40"/>
      <c r="Y47" s="40"/>
      <c r="Z47" s="40"/>
      <c r="AA47" s="40"/>
    </row>
    <row r="48">
      <c r="V48" s="40"/>
      <c r="W48" s="40"/>
      <c r="X48" s="40"/>
      <c r="Y48" s="40"/>
      <c r="Z48" s="40"/>
      <c r="AA48" s="40"/>
    </row>
    <row r="49">
      <c r="V49" s="40"/>
      <c r="W49" s="40"/>
      <c r="X49" s="40"/>
      <c r="Y49" s="40"/>
      <c r="Z49" s="40"/>
      <c r="AA49" s="40"/>
    </row>
    <row r="50">
      <c r="V50" s="40"/>
      <c r="W50" s="40"/>
      <c r="X50" s="40"/>
      <c r="Y50" s="40"/>
      <c r="Z50" s="40"/>
      <c r="AA50" s="40"/>
    </row>
    <row r="51">
      <c r="V51" s="40"/>
      <c r="W51" s="40"/>
      <c r="X51" s="40"/>
      <c r="Y51" s="40"/>
      <c r="Z51" s="40"/>
      <c r="AA51" s="40"/>
    </row>
    <row r="52">
      <c r="V52" s="40"/>
      <c r="W52" s="40"/>
      <c r="X52" s="40"/>
      <c r="Y52" s="40"/>
      <c r="Z52" s="40"/>
      <c r="AA52" s="40"/>
    </row>
    <row r="53">
      <c r="C53" s="113"/>
      <c r="F53" s="113"/>
      <c r="G53" s="113"/>
      <c r="V53" s="40"/>
      <c r="W53" s="40"/>
      <c r="X53" s="40"/>
      <c r="Y53" s="40"/>
      <c r="Z53" s="40"/>
      <c r="AA53" s="40"/>
    </row>
    <row r="54">
      <c r="C54" s="113"/>
      <c r="F54" s="113"/>
      <c r="G54" s="113"/>
      <c r="V54" s="40"/>
      <c r="W54" s="40"/>
      <c r="X54" s="40"/>
      <c r="Y54" s="40"/>
      <c r="Z54" s="40"/>
      <c r="AA54" s="40"/>
    </row>
  </sheetData>
  <mergeCells count="18">
    <mergeCell ref="I30:J31"/>
    <mergeCell ref="B32:I34"/>
    <mergeCell ref="C38:T43"/>
    <mergeCell ref="C47:T52"/>
    <mergeCell ref="J32:M34"/>
    <mergeCell ref="N32:U34"/>
    <mergeCell ref="U30:U31"/>
    <mergeCell ref="S30:T31"/>
    <mergeCell ref="K28:K29"/>
    <mergeCell ref="S28:T29"/>
    <mergeCell ref="K30:K31"/>
    <mergeCell ref="G1:Q1"/>
    <mergeCell ref="C2:K2"/>
    <mergeCell ref="L2:L3"/>
    <mergeCell ref="M2:U2"/>
    <mergeCell ref="L24:L27"/>
    <mergeCell ref="I28:J29"/>
    <mergeCell ref="U28:U29"/>
  </mergeCells>
  <conditionalFormatting sqref="C4:U23">
    <cfRule type="expression" dxfId="0" priority="1">
      <formula>$I:$I&lt;&gt;""</formula>
    </cfRule>
  </conditionalFormatting>
  <conditionalFormatting sqref="C4:U23">
    <cfRule type="expression" dxfId="0" priority="2">
      <formula>$S:$S&lt;&gt;""</formula>
    </cfRule>
  </conditionalFormatting>
  <conditionalFormatting sqref="A1">
    <cfRule type="notContainsBlanks" dxfId="1" priority="3">
      <formula>LEN(TRIM(A1))&gt;0</formula>
    </cfRule>
  </conditionalFormatting>
  <conditionalFormatting sqref="X12">
    <cfRule type="notContainsBlanks" dxfId="1" priority="4">
      <formula>LEN(TRIM(X12))&gt;0</formula>
    </cfRule>
  </conditionalFormatting>
  <conditionalFormatting sqref="C38:T43">
    <cfRule type="expression" dxfId="2" priority="5">
      <formula>NOT(V32)</formula>
    </cfRule>
  </conditionalFormatting>
  <conditionalFormatting sqref="C37">
    <cfRule type="expression" dxfId="3" priority="6">
      <formula>NOT(V32)</formula>
    </cfRule>
  </conditionalFormatting>
  <dataValidations>
    <dataValidation type="list" allowBlank="1" showErrorMessage="1" sqref="M3:R3">
      <formula1>'ROUND 10'!$X$5:$X$11</formula1>
    </dataValidation>
    <dataValidation type="list" allowBlank="1" showErrorMessage="1" sqref="I4:I23 S4:S23">
      <formula1>"0,10,20,30"</formula1>
    </dataValidation>
    <dataValidation type="list" allowBlank="1" showErrorMessage="1" sqref="C4:H27 M4:R27">
      <formula1>"-5,10,15"</formula1>
    </dataValidation>
    <dataValidation type="list" allowBlank="1" showErrorMessage="1" sqref="C3:H3">
      <formula1>'ROUND 10'!$W$5:$W$11</formula1>
    </dataValidation>
    <dataValidation type="list" allowBlank="1" showErrorMessage="1" sqref="C2 M2">
      <formula1>INSTRUCTIONS!$A$28:$AJ$28</formula1>
    </dataValidation>
  </dataValidation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1" max="1" width="1.29"/>
    <col customWidth="1" min="2" max="2" width="5.0"/>
    <col customWidth="1" min="3" max="7" width="8.71"/>
    <col customWidth="1" min="8" max="8" width="8.43"/>
    <col customWidth="1" min="9" max="9" width="9.14"/>
    <col customWidth="1" min="10" max="10" width="8.29"/>
    <col customWidth="1" min="11" max="11" width="8.0"/>
    <col customWidth="1" min="12" max="12" width="8.86"/>
    <col customWidth="1" min="13" max="13" width="8.71"/>
    <col customWidth="1" min="14" max="14" width="8.43"/>
    <col customWidth="1" min="15" max="18" width="8.71"/>
    <col customWidth="1" min="19" max="19" width="8.86"/>
    <col customWidth="1" min="20" max="20" width="8.0"/>
    <col customWidth="1" min="21" max="21" width="8.43"/>
    <col customWidth="1" min="22" max="22" width="21.57"/>
  </cols>
  <sheetData>
    <row r="1" ht="18.75" customHeight="1">
      <c r="C1" s="2"/>
      <c r="D1" s="2"/>
      <c r="E1" s="2"/>
      <c r="F1" s="2"/>
      <c r="G1" s="5" t="s">
        <v>98</v>
      </c>
      <c r="R1" s="2"/>
      <c r="S1" s="2"/>
      <c r="T1" s="2"/>
      <c r="U1" s="2"/>
      <c r="V1" s="7"/>
      <c r="W1" s="7"/>
      <c r="X1" s="7"/>
      <c r="Y1" s="7"/>
      <c r="Z1" s="7"/>
    </row>
    <row r="2" ht="18.75" customHeight="1">
      <c r="C2" s="9" t="s">
        <v>49</v>
      </c>
      <c r="D2" s="11"/>
      <c r="E2" s="11"/>
      <c r="F2" s="11"/>
      <c r="G2" s="11"/>
      <c r="H2" s="11"/>
      <c r="I2" s="11"/>
      <c r="J2" s="11"/>
      <c r="K2" s="12"/>
      <c r="L2" s="15" t="s">
        <v>9</v>
      </c>
      <c r="M2" s="17" t="s">
        <v>99</v>
      </c>
      <c r="N2" s="11"/>
      <c r="O2" s="11"/>
      <c r="P2" s="11"/>
      <c r="Q2" s="11"/>
      <c r="R2" s="11"/>
      <c r="S2" s="11"/>
      <c r="T2" s="11"/>
      <c r="U2" s="12"/>
      <c r="V2" s="7"/>
      <c r="W2" s="7"/>
      <c r="X2" s="7"/>
      <c r="Y2" s="7"/>
      <c r="Z2" s="7"/>
    </row>
    <row r="3">
      <c r="C3" s="18" t="s">
        <v>51</v>
      </c>
      <c r="D3" s="20" t="s">
        <v>52</v>
      </c>
      <c r="E3" s="22" t="s">
        <v>53</v>
      </c>
      <c r="F3" s="20" t="s">
        <v>54</v>
      </c>
      <c r="G3" s="22"/>
      <c r="H3" s="20"/>
      <c r="I3" s="23" t="s">
        <v>24</v>
      </c>
      <c r="J3" s="24" t="s">
        <v>27</v>
      </c>
      <c r="K3" s="23" t="s">
        <v>29</v>
      </c>
      <c r="L3" s="25"/>
      <c r="M3" s="26" t="s">
        <v>100</v>
      </c>
      <c r="N3" s="28" t="s">
        <v>101</v>
      </c>
      <c r="O3" s="26" t="s">
        <v>102</v>
      </c>
      <c r="P3" s="28" t="s">
        <v>103</v>
      </c>
      <c r="Q3" s="26"/>
      <c r="R3" s="30"/>
      <c r="S3" s="23" t="s">
        <v>24</v>
      </c>
      <c r="T3" s="24" t="s">
        <v>27</v>
      </c>
      <c r="U3" s="23" t="s">
        <v>29</v>
      </c>
      <c r="V3" s="7"/>
      <c r="W3" s="7"/>
      <c r="X3" s="7"/>
      <c r="Y3" s="7"/>
      <c r="Z3" s="7"/>
    </row>
    <row r="4">
      <c r="C4" s="31"/>
      <c r="D4" s="32"/>
      <c r="E4" s="32"/>
      <c r="F4" s="32"/>
      <c r="G4" s="32"/>
      <c r="H4" s="32"/>
      <c r="I4" s="32"/>
      <c r="J4" s="37">
        <f t="shared" ref="J4:J23" si="1">IF(AND(COUNTA(C4:H4)=0,I4&gt;0), "BON.ERR", IF(COUNTA(C4:H4)&lt;=1, IF(AND(OR(C4&lt;0, D4&lt;0, E4&lt;0, F4&lt;0, G4&lt;0, H4&lt;0), I4&gt;0), "BON.ERR", SUM(C4:I4)), "TEAM.ERR"))</f>
        <v>0</v>
      </c>
      <c r="K4" s="38">
        <f>if(sum(sum(C4:H4), M4:R4)&lt;-6, "NEG.ERR", if(and(sum(C4:I4)&gt;0, sum(M4:S4)&gt;0), "ERROR", sum(J4)))</f>
        <v>0</v>
      </c>
      <c r="L4" s="39">
        <v>1.0</v>
      </c>
      <c r="M4" s="32"/>
      <c r="N4" s="32"/>
      <c r="O4" s="37">
        <v>10.0</v>
      </c>
      <c r="P4" s="32"/>
      <c r="Q4" s="32"/>
      <c r="R4" s="32"/>
      <c r="S4" s="37">
        <v>20.0</v>
      </c>
      <c r="T4" s="37">
        <f t="shared" ref="T4:T23" si="2">IF(AND(COUNTA(M4:R4)=0,S4&gt;0), "BON.ERR", IF(COUNTA(M4:R4)&lt;=1, IF(AND(OR(M4&lt;0, N4&lt;0, O4&lt;0, P4&lt;0, Q4&lt;0, R4&lt;0), S4&gt;0), "BON.ERR", SUM(M4:S4)), "TEAM.ERR"))</f>
        <v>30</v>
      </c>
      <c r="U4" s="38">
        <f>if(sum(sum(C4:H4), M4:R4)&lt;-6, "NEG.ERR", if(and(sum(C4:H4)&gt;0, sum(M4:R4)&gt;0), "ERROR", sum(T4)))</f>
        <v>30</v>
      </c>
      <c r="V4" s="40"/>
      <c r="W4" s="41" t="str">
        <f>IFERROR(__xludf.DUMMYFUNCTION("filter(INSTRUCTIONS!A28:AJ39, INSTRUCTIONS!A28:AJ28=C2)"),"CENTENNIAL A")</f>
        <v>CENTENNIAL A</v>
      </c>
      <c r="X4" s="41" t="str">
        <f>IFERROR(__xludf.DUMMYFUNCTION("filter(INSTRUCTIONS!A28:AJ39, INSTRUCTIONS!A28:AJ28=M2)"),"MONTGOMERY BLAIR A")</f>
        <v>MONTGOMERY BLAIR A</v>
      </c>
      <c r="Y4" s="41"/>
      <c r="Z4" s="40"/>
      <c r="AA4" s="40"/>
    </row>
    <row r="5">
      <c r="C5" s="31"/>
      <c r="D5" s="32"/>
      <c r="E5" s="32"/>
      <c r="F5" s="37">
        <v>15.0</v>
      </c>
      <c r="G5" s="32"/>
      <c r="H5" s="32"/>
      <c r="I5" s="37">
        <v>10.0</v>
      </c>
      <c r="J5" s="37">
        <f t="shared" si="1"/>
        <v>25</v>
      </c>
      <c r="K5" s="38">
        <f t="shared" ref="K5:K27" si="3">if(sum(sum(C5:H5), M5:R5)&lt;-6, "NEG.ERR", if(and(sum(C5:I5)&gt;0, sum(M5:S5)&gt;0), "ERROR", sum(J5,K4)))</f>
        <v>25</v>
      </c>
      <c r="L5" s="39">
        <v>2.0</v>
      </c>
      <c r="M5" s="32"/>
      <c r="N5" s="32"/>
      <c r="O5" s="32"/>
      <c r="P5" s="32"/>
      <c r="Q5" s="42"/>
      <c r="R5" s="42"/>
      <c r="S5" s="32"/>
      <c r="T5" s="37">
        <f t="shared" si="2"/>
        <v>0</v>
      </c>
      <c r="U5" s="38">
        <f t="shared" ref="U5:U27" si="4">if(sum(sum(C5:H5), M5:R5)&lt;-6, "NEG.ERR", if(and(sum(C5:H5)&gt;0, sum(M5:R5)&gt;0), "ERROR", sum(T5,U4)))</f>
        <v>30</v>
      </c>
      <c r="V5" s="40"/>
      <c r="W5" s="41" t="str">
        <f>IFERROR(__xludf.DUMMYFUNCTION("""COMPUTED_VALUE"""),"Nathan Ho")</f>
        <v>Nathan Ho</v>
      </c>
      <c r="X5" s="41" t="str">
        <f>IFERROR(__xludf.DUMMYFUNCTION("""COMPUTED_VALUE"""),"Martin Brandenburg")</f>
        <v>Martin Brandenburg</v>
      </c>
      <c r="Y5" s="41"/>
      <c r="Z5" s="40"/>
      <c r="AA5" s="40"/>
    </row>
    <row r="6">
      <c r="C6" s="31"/>
      <c r="D6" s="42"/>
      <c r="E6" s="42"/>
      <c r="F6" s="32"/>
      <c r="G6" s="42"/>
      <c r="H6" s="42"/>
      <c r="I6" s="32"/>
      <c r="J6" s="37">
        <f t="shared" si="1"/>
        <v>0</v>
      </c>
      <c r="K6" s="38">
        <f t="shared" si="3"/>
        <v>25</v>
      </c>
      <c r="L6" s="39">
        <v>3.0</v>
      </c>
      <c r="M6" s="42"/>
      <c r="N6" s="38">
        <v>10.0</v>
      </c>
      <c r="O6" s="32"/>
      <c r="P6" s="32"/>
      <c r="Q6" s="32"/>
      <c r="R6" s="42"/>
      <c r="S6" s="37">
        <v>10.0</v>
      </c>
      <c r="T6" s="37">
        <f t="shared" si="2"/>
        <v>20</v>
      </c>
      <c r="U6" s="38">
        <f t="shared" si="4"/>
        <v>50</v>
      </c>
      <c r="V6" s="40"/>
      <c r="W6" s="41" t="str">
        <f>IFERROR(__xludf.DUMMYFUNCTION("""COMPUTED_VALUE"""),"Ryan Jiang")</f>
        <v>Ryan Jiang</v>
      </c>
      <c r="X6" s="41" t="str">
        <f>IFERROR(__xludf.DUMMYFUNCTION("""COMPUTED_VALUE"""),"Albert Ho")</f>
        <v>Albert Ho</v>
      </c>
      <c r="Y6" s="41"/>
      <c r="Z6" s="40"/>
      <c r="AA6" s="40"/>
    </row>
    <row r="7">
      <c r="C7" s="31"/>
      <c r="D7" s="42"/>
      <c r="E7" s="42"/>
      <c r="F7" s="42"/>
      <c r="G7" s="42"/>
      <c r="H7" s="32"/>
      <c r="I7" s="32"/>
      <c r="J7" s="37">
        <f t="shared" si="1"/>
        <v>0</v>
      </c>
      <c r="K7" s="38">
        <f t="shared" si="3"/>
        <v>25</v>
      </c>
      <c r="L7" s="39">
        <v>4.0</v>
      </c>
      <c r="M7" s="42"/>
      <c r="N7" s="38">
        <v>15.0</v>
      </c>
      <c r="O7" s="42"/>
      <c r="P7" s="42"/>
      <c r="Q7" s="42"/>
      <c r="R7" s="42"/>
      <c r="S7" s="38">
        <v>30.0</v>
      </c>
      <c r="T7" s="37">
        <f t="shared" si="2"/>
        <v>45</v>
      </c>
      <c r="U7" s="38">
        <f t="shared" si="4"/>
        <v>95</v>
      </c>
      <c r="V7" s="40"/>
      <c r="W7" s="41" t="str">
        <f>IFERROR(__xludf.DUMMYFUNCTION("""COMPUTED_VALUE"""),"Carter Matties")</f>
        <v>Carter Matties</v>
      </c>
      <c r="X7" s="41" t="str">
        <f>IFERROR(__xludf.DUMMYFUNCTION("""COMPUTED_VALUE"""),"Jason Liu")</f>
        <v>Jason Liu</v>
      </c>
      <c r="Y7" s="41"/>
      <c r="Z7" s="40"/>
      <c r="AA7" s="40"/>
    </row>
    <row r="8">
      <c r="C8" s="31"/>
      <c r="D8" s="32"/>
      <c r="E8" s="32"/>
      <c r="F8" s="32"/>
      <c r="G8" s="42"/>
      <c r="H8" s="42"/>
      <c r="I8" s="32"/>
      <c r="J8" s="37">
        <f t="shared" si="1"/>
        <v>0</v>
      </c>
      <c r="K8" s="38">
        <f t="shared" si="3"/>
        <v>25</v>
      </c>
      <c r="L8" s="39">
        <v>5.0</v>
      </c>
      <c r="M8" s="37">
        <v>10.0</v>
      </c>
      <c r="N8" s="42"/>
      <c r="O8" s="42"/>
      <c r="P8" s="42"/>
      <c r="Q8" s="32"/>
      <c r="R8" s="42"/>
      <c r="S8" s="37">
        <v>30.0</v>
      </c>
      <c r="T8" s="37">
        <f t="shared" si="2"/>
        <v>40</v>
      </c>
      <c r="U8" s="38">
        <f t="shared" si="4"/>
        <v>135</v>
      </c>
      <c r="V8" s="40"/>
      <c r="W8" s="41" t="str">
        <f>IFERROR(__xludf.DUMMYFUNCTION("""COMPUTED_VALUE"""),"Ben Kantsiper")</f>
        <v>Ben Kantsiper</v>
      </c>
      <c r="X8" s="41" t="str">
        <f>IFERROR(__xludf.DUMMYFUNCTION("""COMPUTED_VALUE"""),"Leela Mehta-Harwitz")</f>
        <v>Leela Mehta-Harwitz</v>
      </c>
      <c r="Y8" s="41"/>
      <c r="Z8" s="40"/>
      <c r="AA8" s="40"/>
    </row>
    <row r="9">
      <c r="C9" s="44"/>
      <c r="D9" s="32"/>
      <c r="E9" s="37">
        <v>15.0</v>
      </c>
      <c r="F9" s="32"/>
      <c r="G9" s="32"/>
      <c r="H9" s="42"/>
      <c r="I9" s="37">
        <v>10.0</v>
      </c>
      <c r="J9" s="37">
        <f t="shared" si="1"/>
        <v>25</v>
      </c>
      <c r="K9" s="38">
        <f t="shared" si="3"/>
        <v>50</v>
      </c>
      <c r="L9" s="39">
        <v>6.0</v>
      </c>
      <c r="M9" s="42"/>
      <c r="N9" s="42"/>
      <c r="O9" s="38">
        <v>-5.0</v>
      </c>
      <c r="P9" s="32"/>
      <c r="Q9" s="42"/>
      <c r="R9" s="42"/>
      <c r="S9" s="42"/>
      <c r="T9" s="37">
        <f t="shared" si="2"/>
        <v>-5</v>
      </c>
      <c r="U9" s="38">
        <f t="shared" si="4"/>
        <v>130</v>
      </c>
      <c r="V9" s="40"/>
      <c r="W9" s="41" t="str">
        <f>IFERROR(__xludf.DUMMYFUNCTION("""COMPUTED_VALUE"""),"")</f>
        <v/>
      </c>
      <c r="X9" s="41" t="str">
        <f>IFERROR(__xludf.DUMMYFUNCTION("""COMPUTED_VALUE"""),"")</f>
        <v/>
      </c>
      <c r="Y9" s="41"/>
      <c r="Z9" s="40"/>
      <c r="AA9" s="40"/>
    </row>
    <row r="10">
      <c r="C10" s="44"/>
      <c r="D10" s="37">
        <v>10.0</v>
      </c>
      <c r="E10" s="42"/>
      <c r="F10" s="32"/>
      <c r="G10" s="42"/>
      <c r="H10" s="42"/>
      <c r="I10" s="37">
        <v>10.0</v>
      </c>
      <c r="J10" s="37">
        <f t="shared" si="1"/>
        <v>20</v>
      </c>
      <c r="K10" s="38">
        <f t="shared" si="3"/>
        <v>70</v>
      </c>
      <c r="L10" s="39">
        <v>7.0</v>
      </c>
      <c r="M10" s="42"/>
      <c r="N10" s="42"/>
      <c r="O10" s="32"/>
      <c r="P10" s="42"/>
      <c r="Q10" s="42"/>
      <c r="R10" s="42"/>
      <c r="S10" s="32"/>
      <c r="T10" s="37">
        <f t="shared" si="2"/>
        <v>0</v>
      </c>
      <c r="U10" s="38">
        <f t="shared" si="4"/>
        <v>130</v>
      </c>
      <c r="V10" s="40"/>
      <c r="W10" s="41" t="str">
        <f>IFERROR(__xludf.DUMMYFUNCTION("""COMPUTED_VALUE"""),"")</f>
        <v/>
      </c>
      <c r="X10" s="41" t="str">
        <f>IFERROR(__xludf.DUMMYFUNCTION("""COMPUTED_VALUE"""),"")</f>
        <v/>
      </c>
      <c r="Y10" s="41"/>
      <c r="Z10" s="40"/>
      <c r="AA10" s="40"/>
    </row>
    <row r="11">
      <c r="C11" s="44"/>
      <c r="D11" s="32"/>
      <c r="E11" s="42"/>
      <c r="F11" s="42"/>
      <c r="G11" s="42"/>
      <c r="H11" s="42"/>
      <c r="I11" s="32"/>
      <c r="J11" s="37">
        <f t="shared" si="1"/>
        <v>0</v>
      </c>
      <c r="K11" s="38">
        <f t="shared" si="3"/>
        <v>70</v>
      </c>
      <c r="L11" s="39">
        <v>8.0</v>
      </c>
      <c r="M11" s="38">
        <v>15.0</v>
      </c>
      <c r="N11" s="42"/>
      <c r="O11" s="42"/>
      <c r="P11" s="42"/>
      <c r="Q11" s="42"/>
      <c r="R11" s="42"/>
      <c r="S11" s="38">
        <v>20.0</v>
      </c>
      <c r="T11" s="37">
        <f t="shared" si="2"/>
        <v>35</v>
      </c>
      <c r="U11" s="38">
        <f t="shared" si="4"/>
        <v>165</v>
      </c>
      <c r="V11" s="40"/>
      <c r="W11" s="41" t="str">
        <f>IFERROR(__xludf.DUMMYFUNCTION("""COMPUTED_VALUE"""),"")</f>
        <v/>
      </c>
      <c r="X11" s="41" t="str">
        <f>IFERROR(__xludf.DUMMYFUNCTION("""COMPUTED_VALUE"""),"")</f>
        <v/>
      </c>
      <c r="Y11" s="41"/>
      <c r="Z11" s="40"/>
      <c r="AA11" s="40"/>
    </row>
    <row r="12">
      <c r="C12" s="67"/>
      <c r="D12" s="61"/>
      <c r="E12" s="60"/>
      <c r="F12" s="59"/>
      <c r="G12" s="60"/>
      <c r="H12" s="59"/>
      <c r="I12" s="62"/>
      <c r="J12" s="63">
        <f t="shared" si="1"/>
        <v>0</v>
      </c>
      <c r="K12" s="64">
        <f t="shared" si="3"/>
        <v>70</v>
      </c>
      <c r="L12" s="65">
        <v>9.0</v>
      </c>
      <c r="M12" s="160">
        <v>-5.0</v>
      </c>
      <c r="N12" s="61"/>
      <c r="O12" s="66"/>
      <c r="P12" s="59"/>
      <c r="Q12" s="66"/>
      <c r="R12" s="59"/>
      <c r="S12" s="62"/>
      <c r="T12" s="63">
        <f t="shared" si="2"/>
        <v>-5</v>
      </c>
      <c r="U12" s="64">
        <f t="shared" si="4"/>
        <v>160</v>
      </c>
      <c r="V12" s="40"/>
      <c r="W12" s="41" t="str">
        <f>IFERROR(__xludf.DUMMYFUNCTION("""COMPUTED_VALUE"""),"")</f>
        <v/>
      </c>
      <c r="X12" s="41" t="str">
        <f>IFERROR(__xludf.DUMMYFUNCTION("""COMPUTED_VALUE"""),"")</f>
        <v/>
      </c>
      <c r="Y12" s="41"/>
      <c r="Z12" s="40"/>
      <c r="AA12" s="40"/>
    </row>
    <row r="13">
      <c r="C13" s="44"/>
      <c r="D13" s="32"/>
      <c r="E13" s="32"/>
      <c r="F13" s="42"/>
      <c r="G13" s="42"/>
      <c r="H13" s="42"/>
      <c r="I13" s="32"/>
      <c r="J13" s="37">
        <f t="shared" si="1"/>
        <v>0</v>
      </c>
      <c r="K13" s="38">
        <f t="shared" si="3"/>
        <v>70</v>
      </c>
      <c r="L13" s="39">
        <v>10.0</v>
      </c>
      <c r="M13" s="42"/>
      <c r="N13" s="42"/>
      <c r="O13" s="32"/>
      <c r="P13" s="38">
        <v>10.0</v>
      </c>
      <c r="Q13" s="42"/>
      <c r="R13" s="42"/>
      <c r="S13" s="37">
        <v>30.0</v>
      </c>
      <c r="T13" s="37">
        <f t="shared" si="2"/>
        <v>40</v>
      </c>
      <c r="U13" s="38">
        <f t="shared" si="4"/>
        <v>200</v>
      </c>
      <c r="V13" s="40"/>
      <c r="W13" s="40" t="str">
        <f>IFERROR(__xludf.DUMMYFUNCTION("""COMPUTED_VALUE"""),"")</f>
        <v/>
      </c>
      <c r="X13" s="40" t="str">
        <f>IFERROR(__xludf.DUMMYFUNCTION("""COMPUTED_VALUE"""),"")</f>
        <v/>
      </c>
      <c r="Y13" s="40"/>
      <c r="Z13" s="40"/>
      <c r="AA13" s="40"/>
    </row>
    <row r="14">
      <c r="C14" s="31"/>
      <c r="D14" s="32"/>
      <c r="E14" s="42"/>
      <c r="F14" s="42"/>
      <c r="G14" s="42"/>
      <c r="H14" s="42"/>
      <c r="I14" s="32"/>
      <c r="J14" s="37">
        <f t="shared" si="1"/>
        <v>0</v>
      </c>
      <c r="K14" s="38">
        <f t="shared" si="3"/>
        <v>70</v>
      </c>
      <c r="L14" s="39">
        <v>11.0</v>
      </c>
      <c r="M14" s="32"/>
      <c r="N14" s="42"/>
      <c r="O14" s="32"/>
      <c r="P14" s="38">
        <v>15.0</v>
      </c>
      <c r="Q14" s="42"/>
      <c r="R14" s="42"/>
      <c r="S14" s="37">
        <v>20.0</v>
      </c>
      <c r="T14" s="37">
        <f t="shared" si="2"/>
        <v>35</v>
      </c>
      <c r="U14" s="38">
        <f t="shared" si="4"/>
        <v>235</v>
      </c>
      <c r="V14" s="46"/>
      <c r="W14" s="46" t="str">
        <f>IFERROR(__xludf.DUMMYFUNCTION("""COMPUTED_VALUE"""),"")</f>
        <v/>
      </c>
      <c r="X14" s="46" t="str">
        <f>IFERROR(__xludf.DUMMYFUNCTION("""COMPUTED_VALUE"""),"")</f>
        <v/>
      </c>
      <c r="Y14" s="46"/>
      <c r="Z14" s="46"/>
      <c r="AA14" s="46"/>
    </row>
    <row r="15">
      <c r="C15" s="44"/>
      <c r="D15" s="38">
        <v>-5.0</v>
      </c>
      <c r="E15" s="42"/>
      <c r="F15" s="32"/>
      <c r="G15" s="42"/>
      <c r="H15" s="42"/>
      <c r="I15" s="32"/>
      <c r="J15" s="37">
        <f t="shared" si="1"/>
        <v>-5</v>
      </c>
      <c r="K15" s="38">
        <f t="shared" si="3"/>
        <v>65</v>
      </c>
      <c r="L15" s="39">
        <v>12.0</v>
      </c>
      <c r="M15" s="38">
        <v>10.0</v>
      </c>
      <c r="N15" s="32"/>
      <c r="O15" s="42"/>
      <c r="P15" s="42"/>
      <c r="Q15" s="42"/>
      <c r="R15" s="42"/>
      <c r="S15" s="38">
        <v>20.0</v>
      </c>
      <c r="T15" s="37">
        <f t="shared" si="2"/>
        <v>30</v>
      </c>
      <c r="U15" s="38">
        <f t="shared" si="4"/>
        <v>265</v>
      </c>
      <c r="V15" s="46"/>
      <c r="W15" s="46" t="str">
        <f>IFERROR(__xludf.DUMMYFUNCTION("""COMPUTED_VALUE"""),"")</f>
        <v/>
      </c>
      <c r="X15" s="46" t="str">
        <f>IFERROR(__xludf.DUMMYFUNCTION("""COMPUTED_VALUE"""),"")</f>
        <v/>
      </c>
      <c r="Y15" s="46"/>
      <c r="Z15" s="46"/>
      <c r="AA15" s="46"/>
    </row>
    <row r="16">
      <c r="C16" s="31"/>
      <c r="D16" s="42"/>
      <c r="E16" s="42"/>
      <c r="F16" s="38">
        <v>10.0</v>
      </c>
      <c r="G16" s="42"/>
      <c r="H16" s="32"/>
      <c r="I16" s="37">
        <v>30.0</v>
      </c>
      <c r="J16" s="37">
        <f t="shared" si="1"/>
        <v>40</v>
      </c>
      <c r="K16" s="38">
        <f t="shared" si="3"/>
        <v>105</v>
      </c>
      <c r="L16" s="39">
        <v>13.0</v>
      </c>
      <c r="M16" s="32"/>
      <c r="N16" s="42"/>
      <c r="O16" s="42"/>
      <c r="P16" s="38">
        <v>-5.0</v>
      </c>
      <c r="Q16" s="42"/>
      <c r="R16" s="42"/>
      <c r="S16" s="32"/>
      <c r="T16" s="37">
        <f t="shared" si="2"/>
        <v>-5</v>
      </c>
      <c r="U16" s="38">
        <f t="shared" si="4"/>
        <v>260</v>
      </c>
      <c r="V16" s="46"/>
      <c r="W16" s="46"/>
      <c r="X16" s="46"/>
      <c r="Y16" s="46"/>
      <c r="Z16" s="46"/>
      <c r="AA16" s="46"/>
    </row>
    <row r="17">
      <c r="C17" s="31"/>
      <c r="D17" s="42"/>
      <c r="E17" s="42"/>
      <c r="F17" s="38">
        <v>-5.0</v>
      </c>
      <c r="G17" s="42"/>
      <c r="H17" s="42"/>
      <c r="I17" s="32"/>
      <c r="J17" s="37">
        <f t="shared" si="1"/>
        <v>-5</v>
      </c>
      <c r="K17" s="38">
        <f t="shared" si="3"/>
        <v>100</v>
      </c>
      <c r="L17" s="39">
        <v>14.0</v>
      </c>
      <c r="M17" s="32"/>
      <c r="N17" s="38">
        <v>10.0</v>
      </c>
      <c r="O17" s="32"/>
      <c r="P17" s="42"/>
      <c r="Q17" s="42"/>
      <c r="R17" s="42"/>
      <c r="S17" s="37">
        <v>30.0</v>
      </c>
      <c r="T17" s="37">
        <f t="shared" si="2"/>
        <v>40</v>
      </c>
      <c r="U17" s="38">
        <f t="shared" si="4"/>
        <v>300</v>
      </c>
      <c r="V17" s="40"/>
      <c r="W17" s="40"/>
      <c r="X17" s="40"/>
      <c r="Y17" s="40"/>
      <c r="Z17" s="46"/>
      <c r="AA17" s="46"/>
    </row>
    <row r="18">
      <c r="C18" s="44"/>
      <c r="D18" s="42"/>
      <c r="E18" s="42"/>
      <c r="F18" s="42"/>
      <c r="G18" s="42"/>
      <c r="H18" s="42"/>
      <c r="I18" s="32"/>
      <c r="J18" s="37">
        <f t="shared" si="1"/>
        <v>0</v>
      </c>
      <c r="K18" s="38">
        <f t="shared" si="3"/>
        <v>100</v>
      </c>
      <c r="L18" s="39">
        <v>15.0</v>
      </c>
      <c r="M18" s="32"/>
      <c r="N18" s="42"/>
      <c r="O18" s="42"/>
      <c r="P18" s="38">
        <v>15.0</v>
      </c>
      <c r="Q18" s="42"/>
      <c r="R18" s="42"/>
      <c r="S18" s="37">
        <v>10.0</v>
      </c>
      <c r="T18" s="37">
        <f t="shared" si="2"/>
        <v>25</v>
      </c>
      <c r="U18" s="38">
        <f t="shared" si="4"/>
        <v>325</v>
      </c>
      <c r="V18" s="40" t="str">
        <f>IFERROR(__xludf.DUMMYFUNCTION("IF(NOT(EQ(C38, """")), SPLIT(C38, "";""), """")"),"")</f>
        <v/>
      </c>
      <c r="W18" s="47"/>
      <c r="X18" s="40"/>
      <c r="Y18" s="40"/>
      <c r="Z18" s="46"/>
      <c r="AA18" s="46"/>
    </row>
    <row r="19">
      <c r="C19" s="44"/>
      <c r="D19" s="42"/>
      <c r="E19" s="42"/>
      <c r="F19" s="42"/>
      <c r="G19" s="42"/>
      <c r="H19" s="42"/>
      <c r="I19" s="32"/>
      <c r="J19" s="37">
        <f t="shared" si="1"/>
        <v>0</v>
      </c>
      <c r="K19" s="38">
        <f t="shared" si="3"/>
        <v>100</v>
      </c>
      <c r="L19" s="39">
        <v>16.0</v>
      </c>
      <c r="M19" s="32"/>
      <c r="N19" s="38">
        <v>10.0</v>
      </c>
      <c r="O19" s="42"/>
      <c r="P19" s="42"/>
      <c r="Q19" s="42"/>
      <c r="R19" s="42"/>
      <c r="S19" s="37">
        <v>30.0</v>
      </c>
      <c r="T19" s="37">
        <f t="shared" si="2"/>
        <v>40</v>
      </c>
      <c r="U19" s="38">
        <f t="shared" si="4"/>
        <v>365</v>
      </c>
      <c r="V19" s="40" t="str">
        <f t="shared" ref="V19:Y19" si="5">TRIM(V18)</f>
        <v/>
      </c>
      <c r="W19" s="40" t="str">
        <f t="shared" si="5"/>
        <v/>
      </c>
      <c r="X19" s="40" t="str">
        <f t="shared" si="5"/>
        <v/>
      </c>
      <c r="Y19" s="40" t="str">
        <f t="shared" si="5"/>
        <v/>
      </c>
      <c r="Z19" s="46"/>
      <c r="AA19" s="46"/>
    </row>
    <row r="20">
      <c r="C20" s="31"/>
      <c r="D20" s="42"/>
      <c r="E20" s="42"/>
      <c r="F20" s="42"/>
      <c r="G20" s="42"/>
      <c r="H20" s="42"/>
      <c r="I20" s="32"/>
      <c r="J20" s="37">
        <f t="shared" si="1"/>
        <v>0</v>
      </c>
      <c r="K20" s="38">
        <f t="shared" si="3"/>
        <v>100</v>
      </c>
      <c r="L20" s="39">
        <v>17.0</v>
      </c>
      <c r="M20" s="32"/>
      <c r="N20" s="38">
        <v>10.0</v>
      </c>
      <c r="O20" s="42"/>
      <c r="P20" s="42"/>
      <c r="Q20" s="42"/>
      <c r="R20" s="42"/>
      <c r="S20" s="37">
        <v>30.0</v>
      </c>
      <c r="T20" s="37">
        <f t="shared" si="2"/>
        <v>40</v>
      </c>
      <c r="U20" s="38">
        <f t="shared" si="4"/>
        <v>405</v>
      </c>
      <c r="V20" s="40" t="b">
        <f t="shared" ref="V20:Y20" si="6">EQ(V19,"")</f>
        <v>1</v>
      </c>
      <c r="W20" s="40" t="b">
        <f t="shared" si="6"/>
        <v>1</v>
      </c>
      <c r="X20" s="40" t="b">
        <f t="shared" si="6"/>
        <v>1</v>
      </c>
      <c r="Y20" s="40" t="b">
        <f t="shared" si="6"/>
        <v>1</v>
      </c>
      <c r="Z20" s="46"/>
      <c r="AA20" s="46"/>
    </row>
    <row r="21">
      <c r="C21" s="44"/>
      <c r="D21" s="42"/>
      <c r="E21" s="38">
        <v>10.0</v>
      </c>
      <c r="F21" s="42"/>
      <c r="G21" s="42"/>
      <c r="H21" s="42"/>
      <c r="I21" s="37">
        <v>20.0</v>
      </c>
      <c r="J21" s="37">
        <f t="shared" si="1"/>
        <v>30</v>
      </c>
      <c r="K21" s="38">
        <f t="shared" si="3"/>
        <v>130</v>
      </c>
      <c r="L21" s="39">
        <v>18.0</v>
      </c>
      <c r="M21" s="38">
        <v>-5.0</v>
      </c>
      <c r="N21" s="32"/>
      <c r="O21" s="42"/>
      <c r="P21" s="42"/>
      <c r="Q21" s="42"/>
      <c r="R21" s="42"/>
      <c r="S21" s="32"/>
      <c r="T21" s="37">
        <f t="shared" si="2"/>
        <v>-5</v>
      </c>
      <c r="U21" s="38">
        <f t="shared" si="4"/>
        <v>400</v>
      </c>
      <c r="V21" s="57" t="b">
        <f>EQ(UPPER(C2), LEFT(UPPER(V19), LEN(C2)))</f>
        <v>0</v>
      </c>
      <c r="W21" s="57" t="b">
        <f>EQ(UPPER(C2), LEFT(UPPER(W19), LEN(C2)))</f>
        <v>0</v>
      </c>
      <c r="X21" s="57" t="b">
        <f>EQ(UPPER(C2), LEFT(UPPER(X19), LEN(C2)))</f>
        <v>0</v>
      </c>
      <c r="Y21" s="57" t="b">
        <f>EQ(UPPER(C2), LEFT(UPPER(Y19), LEN(C2)))</f>
        <v>0</v>
      </c>
      <c r="Z21" s="46"/>
      <c r="AA21" s="46"/>
    </row>
    <row r="22">
      <c r="C22" s="44"/>
      <c r="D22" s="42"/>
      <c r="E22" s="42"/>
      <c r="F22" s="42"/>
      <c r="G22" s="42"/>
      <c r="H22" s="42"/>
      <c r="I22" s="42"/>
      <c r="J22" s="37">
        <f t="shared" si="1"/>
        <v>0</v>
      </c>
      <c r="K22" s="38">
        <f t="shared" si="3"/>
        <v>130</v>
      </c>
      <c r="L22" s="39">
        <v>19.0</v>
      </c>
      <c r="M22" s="38">
        <v>10.0</v>
      </c>
      <c r="N22" s="42"/>
      <c r="O22" s="32"/>
      <c r="P22" s="42"/>
      <c r="Q22" s="42"/>
      <c r="R22" s="42"/>
      <c r="S22" s="37">
        <v>30.0</v>
      </c>
      <c r="T22" s="37">
        <f t="shared" si="2"/>
        <v>40</v>
      </c>
      <c r="U22" s="38">
        <f t="shared" si="4"/>
        <v>440</v>
      </c>
      <c r="V22" s="57" t="b">
        <f>EQ(UPPER(M2), LEFT(UPPER(V19), LEN(M2)))</f>
        <v>0</v>
      </c>
      <c r="W22" s="57" t="b">
        <f>EQ(UPPER(M2), LEFT(UPPER(W19), LEN(M2)))</f>
        <v>0</v>
      </c>
      <c r="X22" s="40" t="b">
        <f>EQ(UPPER(M2), LEFT(UPPER(X19), LEN(M2)))</f>
        <v>0</v>
      </c>
      <c r="Y22" s="57" t="b">
        <f>EQ(UPPER(M2), LEFT(UPPER(Y19), LEN(M2)))</f>
        <v>0</v>
      </c>
      <c r="Z22" s="46"/>
      <c r="AA22" s="46"/>
    </row>
    <row r="23">
      <c r="C23" s="31"/>
      <c r="D23" s="42"/>
      <c r="E23" s="42"/>
      <c r="F23" s="42"/>
      <c r="G23" s="42"/>
      <c r="H23" s="42"/>
      <c r="I23" s="32"/>
      <c r="J23" s="37">
        <f t="shared" si="1"/>
        <v>0</v>
      </c>
      <c r="K23" s="38">
        <f t="shared" si="3"/>
        <v>130</v>
      </c>
      <c r="L23" s="39">
        <v>20.0</v>
      </c>
      <c r="M23" s="32"/>
      <c r="N23" s="42"/>
      <c r="O23" s="38">
        <v>10.0</v>
      </c>
      <c r="P23" s="42"/>
      <c r="Q23" s="42"/>
      <c r="R23" s="42"/>
      <c r="S23" s="38">
        <v>20.0</v>
      </c>
      <c r="T23" s="37">
        <f t="shared" si="2"/>
        <v>30</v>
      </c>
      <c r="U23" s="38">
        <f t="shared" si="4"/>
        <v>470</v>
      </c>
      <c r="V23" s="57" t="b">
        <f>IFERROR(__xludf.DUMMYFUNCTION("IFERROR(OR(REGEXEXTRACT(V19, ""[0-9]+ :|[0-9]+:""), True), False)"),FALSE)</f>
        <v>0</v>
      </c>
      <c r="W23" s="57" t="b">
        <f>IFERROR(__xludf.DUMMYFUNCTION("IFERROR(OR(REGEXEXTRACT(W19, ""[0-9]+ :|[0-9]+:""), True), False)"),FALSE)</f>
        <v>0</v>
      </c>
      <c r="X23" s="57" t="b">
        <f>IFERROR(__xludf.DUMMYFUNCTION("IFERROR(OR(REGEXEXTRACT(X19, ""[0-9]+ :|[0-9]+:""), True), False)"),FALSE)</f>
        <v>0</v>
      </c>
      <c r="Y23" s="57" t="b">
        <f>IFERROR(__xludf.DUMMYFUNCTION("IFERROR(OR(REGEXEXTRACT(Y19, ""[0-9]+ :|[0-9]+:""), True), False)"),FALSE)</f>
        <v>0</v>
      </c>
      <c r="Z23" s="46"/>
      <c r="AA23" s="46"/>
    </row>
    <row r="24">
      <c r="C24" s="67"/>
      <c r="D24" s="59"/>
      <c r="E24" s="60"/>
      <c r="F24" s="61"/>
      <c r="G24" s="60"/>
      <c r="H24" s="59"/>
      <c r="I24" s="62" t="s">
        <v>59</v>
      </c>
      <c r="J24" s="63">
        <f t="shared" ref="J24:J27" si="8">IF(COUNTA(C24:H24)&lt;=1, IF(AND(OR(C24&lt;0, D24&lt;0, E24&lt;0, F24&lt;0, G24&lt;0, H24&lt;0), I24&gt;0), "BON.ERR", SUM(C24:H24)), "NEG.ERR")</f>
        <v>0</v>
      </c>
      <c r="K24" s="64">
        <f t="shared" si="3"/>
        <v>130</v>
      </c>
      <c r="L24" s="68" t="s">
        <v>60</v>
      </c>
      <c r="M24" s="66"/>
      <c r="N24" s="59"/>
      <c r="O24" s="66"/>
      <c r="P24" s="59"/>
      <c r="Q24" s="66"/>
      <c r="R24" s="59"/>
      <c r="S24" s="62" t="s">
        <v>59</v>
      </c>
      <c r="T24" s="63">
        <f t="shared" ref="T24:T27" si="9">IF(COUNTA(M24:R24)&lt;=1, IF(AND(OR(M24&lt;0, N24&lt;0, O24&lt;0, P24&lt;0, Q24&lt;0, R24&lt;0), S24&gt;0), "BON.ERR", SUM(M24:R24)), "NEG.ERR")</f>
        <v>0</v>
      </c>
      <c r="U24" s="64">
        <f t="shared" si="4"/>
        <v>470</v>
      </c>
      <c r="V24" s="57" t="b">
        <f t="shared" ref="V24:W24" si="7">IFERROR(IF(V21, AND(FIND(UPPER(C3), UPPER(V19)) &gt; 0, NOT(EQ(C3,""))), AND(FIND(UPPER(M3), UPPER(V19)) &gt; 0, NOT(EQ(M3,"")))), FALSE)</f>
        <v>0</v>
      </c>
      <c r="W24" s="57" t="b">
        <f t="shared" si="7"/>
        <v>0</v>
      </c>
      <c r="X24" s="57" t="b">
        <f>IFERROR(IF(X21, AND(FIND(UPPER(C3), UPPER(X19)) &gt; 0, NOT(EQ(C3,""))), AND(FIND(UPPER(M3), UPPER(X19)) &gt; 0, NOT(EQ(M3,"")))), FALSE)</f>
        <v>0</v>
      </c>
      <c r="Y24" s="57" t="b">
        <f>IFERROR(IF(Y21, AND(FIND(UPPER(C3), UPPER(Y19)) &gt; 0, NOT(EQ(C3,""))), AND(FIND(UPPER(M3), UPPER(Y19)) &gt; 0, NOT(EQ(M3,"")))), FALSE)</f>
        <v>0</v>
      </c>
      <c r="Z24" s="46"/>
      <c r="AA24" s="46"/>
    </row>
    <row r="25">
      <c r="C25" s="67"/>
      <c r="D25" s="61"/>
      <c r="E25" s="60"/>
      <c r="F25" s="59"/>
      <c r="G25" s="60"/>
      <c r="H25" s="59"/>
      <c r="I25" s="62" t="s">
        <v>59</v>
      </c>
      <c r="J25" s="63">
        <f t="shared" si="8"/>
        <v>0</v>
      </c>
      <c r="K25" s="64">
        <f t="shared" si="3"/>
        <v>130</v>
      </c>
      <c r="L25" s="25"/>
      <c r="M25" s="66"/>
      <c r="N25" s="59"/>
      <c r="O25" s="66"/>
      <c r="P25" s="59"/>
      <c r="Q25" s="66"/>
      <c r="R25" s="59"/>
      <c r="S25" s="62" t="s">
        <v>59</v>
      </c>
      <c r="T25" s="63">
        <f t="shared" si="9"/>
        <v>0</v>
      </c>
      <c r="U25" s="64">
        <f t="shared" si="4"/>
        <v>470</v>
      </c>
      <c r="V25" s="57" t="b">
        <f t="shared" ref="V25:W25" si="10">IFERROR(IF(V21, AND(FIND(UPPER(D3), UPPER(V19)) &gt; 0, NOT(EQ(D3,""))), AND(FIND(UPPER(N3), UPPER(V19)) &gt; 0, NOT(EQ(N3,"")))), FALSE)</f>
        <v>0</v>
      </c>
      <c r="W25" s="57" t="b">
        <f t="shared" si="10"/>
        <v>0</v>
      </c>
      <c r="X25" s="57" t="b">
        <f>IFERROR(IF(X21, AND(FIND(UPPER(D3), UPPER(X19)) &gt; 0, NOT(EQ(D3,""))), AND(FIND(UPPER(N3), UPPER(X19)) &gt; 0, NOT(EQ(N3,"")))), FALSE)</f>
        <v>0</v>
      </c>
      <c r="Y25" s="57" t="b">
        <f>IFERROR(IF(Y21, AND(FIND(UPPER(D3), UPPER(Y19)) &gt; 0, NOT(EQ(D3,""))), AND(FIND(UPPER(N3), UPPER(Y19)) &gt; 0, NOT(EQ(N3,"")))), FALSE)</f>
        <v>0</v>
      </c>
      <c r="Z25" s="46"/>
      <c r="AA25" s="46"/>
    </row>
    <row r="26">
      <c r="C26" s="67"/>
      <c r="D26" s="59"/>
      <c r="E26" s="60"/>
      <c r="F26" s="59"/>
      <c r="G26" s="60"/>
      <c r="H26" s="59"/>
      <c r="I26" s="62" t="s">
        <v>59</v>
      </c>
      <c r="J26" s="63">
        <f t="shared" si="8"/>
        <v>0</v>
      </c>
      <c r="K26" s="64">
        <f t="shared" si="3"/>
        <v>130</v>
      </c>
      <c r="L26" s="25"/>
      <c r="M26" s="66"/>
      <c r="N26" s="59"/>
      <c r="O26" s="66"/>
      <c r="P26" s="59"/>
      <c r="Q26" s="66"/>
      <c r="R26" s="59"/>
      <c r="S26" s="62" t="s">
        <v>59</v>
      </c>
      <c r="T26" s="63">
        <f t="shared" si="9"/>
        <v>0</v>
      </c>
      <c r="U26" s="64">
        <f t="shared" si="4"/>
        <v>470</v>
      </c>
      <c r="V26" s="57" t="b">
        <f t="shared" ref="V26:W26" si="11">IFERROR(IF(V21, AND(FIND(UPPER(E3), UPPER(V19)) &gt; 0, NOT(EQ(E3,""))), AND(FIND(UPPER(O3), UPPER(V19)) &gt; 0, NOT(EQ(O3,"")))), FALSE)</f>
        <v>0</v>
      </c>
      <c r="W26" s="57" t="b">
        <f t="shared" si="11"/>
        <v>0</v>
      </c>
      <c r="X26" s="57" t="b">
        <f>IFERROR(IF(X21, AND(FIND(UPPER(E3), UPPER(X19)) &gt; 0, NOT(EQ(E3,""))), AND(FIND(UPPER(O3), UPPER(X19)) &gt; 0, NOT(EQ(O3,"")))), FALSE)</f>
        <v>0</v>
      </c>
      <c r="Y26" s="57" t="b">
        <f>IFERROR(IF(Y21, AND(FIND(UPPER(E3), UPPER(Y19)) &gt; 0, NOT(EQ(E3,""))), AND(FIND(UPPER(O3), UPPER(Y19)) &gt; 0, NOT(EQ(O3,"")))), FALSE)</f>
        <v>0</v>
      </c>
      <c r="Z26" s="46"/>
      <c r="AA26" s="46"/>
    </row>
    <row r="27">
      <c r="C27" s="67"/>
      <c r="D27" s="59"/>
      <c r="E27" s="60"/>
      <c r="F27" s="59"/>
      <c r="G27" s="60"/>
      <c r="H27" s="59"/>
      <c r="I27" s="62" t="s">
        <v>59</v>
      </c>
      <c r="J27" s="63">
        <f t="shared" si="8"/>
        <v>0</v>
      </c>
      <c r="K27" s="64">
        <f t="shared" si="3"/>
        <v>130</v>
      </c>
      <c r="L27" s="69"/>
      <c r="M27" s="66"/>
      <c r="N27" s="59"/>
      <c r="O27" s="66"/>
      <c r="P27" s="59"/>
      <c r="Q27" s="66"/>
      <c r="R27" s="59"/>
      <c r="S27" s="62" t="s">
        <v>59</v>
      </c>
      <c r="T27" s="63">
        <f t="shared" si="9"/>
        <v>0</v>
      </c>
      <c r="U27" s="64">
        <f t="shared" si="4"/>
        <v>470</v>
      </c>
      <c r="V27" s="57" t="b">
        <f t="shared" ref="V27:W27" si="12">IFERROR(IF(V21, AND(FIND(UPPER(F3), UPPER(V19)) &gt; 0, NOT(EQ(F3,""))), AND(FIND(UPPER(P3), UPPER(V19)) &gt; 0, NOT(EQ(P3,"")))), FALSE)</f>
        <v>0</v>
      </c>
      <c r="W27" s="57" t="b">
        <f t="shared" si="12"/>
        <v>0</v>
      </c>
      <c r="X27" s="57" t="b">
        <f>IFERROR(IF(X21, AND(FIND(UPPER(F3), UPPER(X19)) &gt; 0, NOT(EQ(F3,""))), AND(FIND(UPPER(P3), UPPER(X19)) &gt; 0, NOT(EQ(P3,"")))), FALSE)</f>
        <v>0</v>
      </c>
      <c r="Y27" s="57" t="b">
        <f>IFERROR(IF(Y21, AND(FIND(UPPER(F3), UPPER(Y19)) &gt; 0, NOT(EQ(F3,""))), AND(FIND(UPPER(P3), UPPER(Y19)) &gt; 0, NOT(EQ(P3,"")))), FALSE)</f>
        <v>0</v>
      </c>
      <c r="Z27" s="46"/>
      <c r="AA27" s="46"/>
    </row>
    <row r="28">
      <c r="B28" s="70">
        <v>15.0</v>
      </c>
      <c r="C28" s="71">
        <f t="shared" ref="C28:H28" si="13">COUNTIF(C4:C27, "=15")</f>
        <v>0</v>
      </c>
      <c r="D28" s="72">
        <f t="shared" si="13"/>
        <v>0</v>
      </c>
      <c r="E28" s="71">
        <f t="shared" si="13"/>
        <v>1</v>
      </c>
      <c r="F28" s="72">
        <f t="shared" si="13"/>
        <v>1</v>
      </c>
      <c r="G28" s="71">
        <f t="shared" si="13"/>
        <v>0</v>
      </c>
      <c r="H28" s="72">
        <f t="shared" si="13"/>
        <v>0</v>
      </c>
      <c r="I28" s="73" t="s">
        <v>61</v>
      </c>
      <c r="J28" s="74"/>
      <c r="K28" s="75" t="s">
        <v>62</v>
      </c>
      <c r="L28" s="76">
        <v>15.0</v>
      </c>
      <c r="M28" s="77">
        <f t="shared" ref="M28:R28" si="14">COUNTIF(M4:M27, "=15")</f>
        <v>1</v>
      </c>
      <c r="N28" s="78">
        <f t="shared" si="14"/>
        <v>1</v>
      </c>
      <c r="O28" s="77">
        <f t="shared" si="14"/>
        <v>0</v>
      </c>
      <c r="P28" s="78">
        <f t="shared" si="14"/>
        <v>2</v>
      </c>
      <c r="Q28" s="77">
        <f t="shared" si="14"/>
        <v>0</v>
      </c>
      <c r="R28" s="78">
        <f t="shared" si="14"/>
        <v>0</v>
      </c>
      <c r="S28" s="79" t="s">
        <v>61</v>
      </c>
      <c r="T28" s="74"/>
      <c r="U28" s="80" t="s">
        <v>62</v>
      </c>
      <c r="V28" s="57" t="b">
        <f t="shared" ref="V28:W28" si="15">IFERROR(IF(V21, AND(FIND(UPPER(G3), UPPER(V19)) &gt; 0, NOT(EQ(G3,""))), AND(FIND(UPPER(Q3), UPPER(V19)) &gt; 0, NOT(EQ(Q3,"")))), FALSE)</f>
        <v>0</v>
      </c>
      <c r="W28" s="57" t="b">
        <f t="shared" si="15"/>
        <v>0</v>
      </c>
      <c r="X28" s="57" t="b">
        <f>IFERROR(IF(X21, AND(FIND(UPPER(G3), UPPER(X19)) &gt; 0, NOT(EQ(G3,""))), AND(FIND(UPPER(Q3), UPPER(X19)) &gt; 0, NOT(EQ(Q3,"")))), FALSE)</f>
        <v>0</v>
      </c>
      <c r="Y28" s="57" t="b">
        <f>IFERROR(IF(Y21, AND(FIND(UPPER(G3), UPPER(Y19)) &gt; 0, NOT(EQ(G3,""))), AND(FIND(UPPER(Q3), UPPER(Y19)) &gt; 0, NOT(EQ(Q3,"")))), FALSE)</f>
        <v>0</v>
      </c>
      <c r="Z28" s="46"/>
      <c r="AA28" s="46"/>
    </row>
    <row r="29">
      <c r="B29" s="81">
        <v>10.0</v>
      </c>
      <c r="C29" s="82">
        <f t="shared" ref="C29:H29" si="16">COUNTIF(C4:C27, "=10")</f>
        <v>0</v>
      </c>
      <c r="D29" s="83">
        <f t="shared" si="16"/>
        <v>1</v>
      </c>
      <c r="E29" s="82">
        <f t="shared" si="16"/>
        <v>1</v>
      </c>
      <c r="F29" s="83">
        <f t="shared" si="16"/>
        <v>1</v>
      </c>
      <c r="G29" s="82">
        <f t="shared" si="16"/>
        <v>0</v>
      </c>
      <c r="H29" s="83">
        <f t="shared" si="16"/>
        <v>0</v>
      </c>
      <c r="I29" s="84"/>
      <c r="J29" s="25"/>
      <c r="K29" s="85"/>
      <c r="L29" s="86">
        <v>10.0</v>
      </c>
      <c r="M29" s="87">
        <f t="shared" ref="M29:R29" si="17">COUNTIF(M4:M27, "=10")</f>
        <v>3</v>
      </c>
      <c r="N29" s="88">
        <f t="shared" si="17"/>
        <v>4</v>
      </c>
      <c r="O29" s="87">
        <f t="shared" si="17"/>
        <v>2</v>
      </c>
      <c r="P29" s="88">
        <f t="shared" si="17"/>
        <v>1</v>
      </c>
      <c r="Q29" s="87">
        <f t="shared" si="17"/>
        <v>0</v>
      </c>
      <c r="R29" s="88">
        <f t="shared" si="17"/>
        <v>0</v>
      </c>
      <c r="S29" s="84"/>
      <c r="T29" s="25"/>
      <c r="U29" s="85"/>
      <c r="V29" s="57" t="b">
        <f>IFERROR(IF(V21, AND(FIND(UPPER(H3), UPPER(V19)) &gt; 0, NOT(EQ(H3,""))), AND(FIND(UPPER(R3), UPPER(V19)) &gt; 0, NOT(EQ(R3,"")))), FALSE)</f>
        <v>0</v>
      </c>
      <c r="W29" s="57" t="b">
        <f>IFERROR(IF(W21, AND(FIND(UPPER(C3), UPPER(W19)) &gt; 0, NOT(EQ(C3,""))), AND(FIND(UPPER(M3), UPPER(W19)) &gt; 0, NOT(EQ(M3,"")))), FALSE)</f>
        <v>0</v>
      </c>
      <c r="X29" s="57" t="b">
        <f>IFERROR(IF(X21, AND(FIND(UPPER(H3), UPPER(X19)) &gt; 0, NOT(EQ(H3,""))), AND(FIND(UPPER(R3), UPPER(X19)) &gt; 0, NOT(EQ(R3,"")))), FALSE)</f>
        <v>0</v>
      </c>
      <c r="Y29" s="57" t="b">
        <f>IFERROR(IF(Y21, AND(FIND(UPPER(H3), UPPER(Y19)) &gt; 0, NOT(EQ(H3,""))), AND(FIND(UPPER(R3), UPPER(Y19)) &gt; 0, NOT(EQ(R3,"")))), FALSE)</f>
        <v>0</v>
      </c>
      <c r="Z29" s="46"/>
      <c r="AA29" s="46"/>
    </row>
    <row r="30">
      <c r="B30" s="81">
        <v>-5.0</v>
      </c>
      <c r="C30" s="89">
        <f t="shared" ref="C30:H30" si="18">COUNTIF(C4:C27, "=-5")</f>
        <v>0</v>
      </c>
      <c r="D30" s="90">
        <f t="shared" si="18"/>
        <v>1</v>
      </c>
      <c r="E30" s="89">
        <f t="shared" si="18"/>
        <v>0</v>
      </c>
      <c r="F30" s="90">
        <f t="shared" si="18"/>
        <v>1</v>
      </c>
      <c r="G30" s="89">
        <f t="shared" si="18"/>
        <v>0</v>
      </c>
      <c r="H30" s="90">
        <f t="shared" si="18"/>
        <v>0</v>
      </c>
      <c r="I30" s="91">
        <f>sum(I4:I23)</f>
        <v>80</v>
      </c>
      <c r="J30" s="25"/>
      <c r="K30" s="92">
        <f>IFERROR(I30/SUM(C28:G29), 0)</f>
        <v>16</v>
      </c>
      <c r="L30" s="86">
        <v>-5.0</v>
      </c>
      <c r="M30" s="93">
        <f t="shared" ref="M30:R30" si="19">COUNTIF(M4:M27, "=-5")</f>
        <v>2</v>
      </c>
      <c r="N30" s="94">
        <f t="shared" si="19"/>
        <v>0</v>
      </c>
      <c r="O30" s="93">
        <f t="shared" si="19"/>
        <v>1</v>
      </c>
      <c r="P30" s="94">
        <f t="shared" si="19"/>
        <v>1</v>
      </c>
      <c r="Q30" s="93">
        <f t="shared" si="19"/>
        <v>0</v>
      </c>
      <c r="R30" s="94">
        <f t="shared" si="19"/>
        <v>0</v>
      </c>
      <c r="S30" s="95">
        <f>sum(S4:S23)</f>
        <v>330</v>
      </c>
      <c r="T30" s="25"/>
      <c r="U30" s="96">
        <f>IFERROR(S30/SUM(M28:Q29), 0)</f>
        <v>23.57142857</v>
      </c>
      <c r="V30" s="57" t="b">
        <f t="shared" ref="V30:W30" si="20">AND(IF(AND(COUNTIF(V24:V29, TRUE)=2, IFERROR(FIND("-", V19) &gt; 0, TRUE)), TRUE, IF(AND(COUNTIF(V24:V29, TRUE)=1, IFERROR(FIND("-", V19) &gt; 0, FALSE)), TRUE, FALSE)),V23)</f>
        <v>0</v>
      </c>
      <c r="W30" s="57" t="b">
        <f t="shared" si="20"/>
        <v>0</v>
      </c>
      <c r="X30" s="57" t="b">
        <f>AND(IF(AND(COUNTIF(X24:X29, TRUE)= 2, IFERROR(FIND("-", X19) &gt; 0, TRUE)), TRUE, IF(AND(COUNTIF(X24:X29,TRUE)=1, IFERROR(FIND("-", X19) &gt; 0, FALSE)), TRUE, FALSE)),X23)</f>
        <v>0</v>
      </c>
      <c r="Y30" s="57" t="b">
        <f>AND(IF(AND(COUNTIF(Y24:Y29, TRUE)=2, IFERROR(FIND("-", Y19) &gt; 0, TRUE)), TRUE, IF(AND(COUNTIF(Y24:Y29, TRUE)=1, IFERROR(FIND("-", Y19) &gt; 0, FALSE)), TRUE, FALSE)),Y23)</f>
        <v>0</v>
      </c>
      <c r="Z30" s="46"/>
      <c r="AA30" s="46"/>
    </row>
    <row r="31">
      <c r="B31" s="97" t="s">
        <v>63</v>
      </c>
      <c r="C31" s="98">
        <f t="shared" ref="C31:H31" si="21">(C28*15)+(C29*10)+(C30*-5)</f>
        <v>0</v>
      </c>
      <c r="D31" s="99">
        <f t="shared" si="21"/>
        <v>5</v>
      </c>
      <c r="E31" s="98">
        <f t="shared" si="21"/>
        <v>25</v>
      </c>
      <c r="F31" s="99">
        <f t="shared" si="21"/>
        <v>20</v>
      </c>
      <c r="G31" s="98">
        <f t="shared" si="21"/>
        <v>0</v>
      </c>
      <c r="H31" s="99">
        <f t="shared" si="21"/>
        <v>0</v>
      </c>
      <c r="I31" s="100"/>
      <c r="J31" s="69"/>
      <c r="K31" s="101"/>
      <c r="L31" s="102" t="s">
        <v>63</v>
      </c>
      <c r="M31" s="103">
        <f t="shared" ref="M31:R31" si="22">(M28*15)+(M29*10)+(M30*-5)</f>
        <v>35</v>
      </c>
      <c r="N31" s="99">
        <f t="shared" si="22"/>
        <v>55</v>
      </c>
      <c r="O31" s="103">
        <f t="shared" si="22"/>
        <v>15</v>
      </c>
      <c r="P31" s="99">
        <f t="shared" si="22"/>
        <v>35</v>
      </c>
      <c r="Q31" s="103">
        <f t="shared" si="22"/>
        <v>0</v>
      </c>
      <c r="R31" s="99">
        <f t="shared" si="22"/>
        <v>0</v>
      </c>
      <c r="S31" s="100"/>
      <c r="T31" s="69"/>
      <c r="U31" s="101"/>
      <c r="V31" s="40" t="b">
        <f t="shared" ref="V31:Y31" si="23">OR(AND(V30, OR(V21,V22)),V20)</f>
        <v>1</v>
      </c>
      <c r="W31" s="40" t="b">
        <f t="shared" si="23"/>
        <v>1</v>
      </c>
      <c r="X31" s="40" t="b">
        <f t="shared" si="23"/>
        <v>1</v>
      </c>
      <c r="Y31" s="40" t="b">
        <f t="shared" si="23"/>
        <v>1</v>
      </c>
      <c r="Z31" s="46"/>
      <c r="AA31" s="46"/>
    </row>
    <row r="32">
      <c r="B32" s="104">
        <f>K27</f>
        <v>130</v>
      </c>
      <c r="I32" s="25"/>
      <c r="J32" s="105" t="s">
        <v>64</v>
      </c>
      <c r="K32" s="106"/>
      <c r="L32" s="106"/>
      <c r="M32" s="74"/>
      <c r="N32" s="107">
        <f>U27</f>
        <v>470</v>
      </c>
      <c r="O32" s="106"/>
      <c r="P32" s="106"/>
      <c r="Q32" s="106"/>
      <c r="R32" s="106"/>
      <c r="S32" s="106"/>
      <c r="T32" s="106"/>
      <c r="U32" s="74"/>
      <c r="V32" s="40" t="b">
        <f>AND(V31:Y31)</f>
        <v>1</v>
      </c>
      <c r="W32" s="40"/>
      <c r="X32" s="40"/>
      <c r="Y32" s="40"/>
      <c r="Z32" s="46"/>
      <c r="AA32" s="46"/>
    </row>
    <row r="33">
      <c r="B33" s="84"/>
      <c r="I33" s="25"/>
      <c r="J33" s="84"/>
      <c r="M33" s="25"/>
      <c r="N33" s="84"/>
      <c r="U33" s="25"/>
      <c r="V33" s="40"/>
      <c r="W33" s="40"/>
      <c r="X33" s="40"/>
      <c r="Y33" s="40"/>
      <c r="Z33" s="46"/>
      <c r="AA33" s="46"/>
    </row>
    <row r="34">
      <c r="B34" s="100"/>
      <c r="C34" s="109"/>
      <c r="D34" s="109"/>
      <c r="E34" s="109"/>
      <c r="F34" s="109"/>
      <c r="G34" s="109"/>
      <c r="H34" s="109"/>
      <c r="I34" s="69"/>
      <c r="J34" s="100"/>
      <c r="K34" s="109"/>
      <c r="L34" s="109"/>
      <c r="M34" s="69"/>
      <c r="N34" s="100"/>
      <c r="O34" s="109"/>
      <c r="P34" s="109"/>
      <c r="Q34" s="109"/>
      <c r="R34" s="109"/>
      <c r="S34" s="109"/>
      <c r="T34" s="109"/>
      <c r="U34" s="69"/>
      <c r="V34" s="46"/>
      <c r="W34" s="46"/>
      <c r="X34" s="46"/>
      <c r="Y34" s="46"/>
      <c r="Z34" s="46"/>
      <c r="AA34" s="46"/>
    </row>
    <row r="35">
      <c r="V35" s="46"/>
      <c r="W35" s="46"/>
      <c r="X35" s="46"/>
      <c r="Y35" s="46"/>
      <c r="Z35" s="46"/>
      <c r="AA35" s="40"/>
    </row>
    <row r="36">
      <c r="V36" s="46"/>
      <c r="W36" s="46"/>
      <c r="X36" s="46"/>
      <c r="Y36" s="46"/>
      <c r="Z36" s="46"/>
      <c r="AA36" s="40"/>
    </row>
    <row r="37">
      <c r="C37" s="156"/>
      <c r="V37" s="46"/>
      <c r="W37" s="46"/>
      <c r="X37" s="46"/>
      <c r="Y37" s="46"/>
      <c r="Z37" s="46"/>
      <c r="AA37" s="40"/>
    </row>
    <row r="38">
      <c r="C38" s="111"/>
      <c r="V38" s="46"/>
      <c r="W38" s="46"/>
      <c r="X38" s="46"/>
      <c r="Y38" s="46"/>
      <c r="Z38" s="46"/>
      <c r="AA38" s="40"/>
    </row>
    <row r="39">
      <c r="V39" s="46"/>
      <c r="W39" s="46"/>
      <c r="X39" s="46"/>
      <c r="Y39" s="46"/>
      <c r="Z39" s="46"/>
      <c r="AA39" s="40"/>
    </row>
    <row r="40">
      <c r="V40" s="46"/>
      <c r="W40" s="46"/>
      <c r="X40" s="46"/>
      <c r="Y40" s="112"/>
      <c r="Z40" s="112"/>
      <c r="AA40" s="40"/>
    </row>
    <row r="41">
      <c r="V41" s="46"/>
      <c r="W41" s="46"/>
      <c r="X41" s="46"/>
      <c r="Y41" s="46"/>
      <c r="Z41" s="46"/>
      <c r="AA41" s="40"/>
    </row>
    <row r="42">
      <c r="V42" s="46"/>
      <c r="W42" s="46"/>
      <c r="X42" s="46"/>
      <c r="Y42" s="46"/>
      <c r="Z42" s="46"/>
      <c r="AA42" s="40"/>
    </row>
    <row r="43">
      <c r="V43" s="46"/>
      <c r="W43" s="46"/>
      <c r="X43" s="46"/>
      <c r="Y43" s="46"/>
      <c r="Z43" s="46"/>
      <c r="AA43" s="40"/>
    </row>
    <row r="44">
      <c r="C44" s="113"/>
      <c r="F44" s="113"/>
      <c r="G44" s="113"/>
      <c r="V44" s="114"/>
      <c r="W44" s="46"/>
      <c r="X44" s="46"/>
      <c r="Y44" s="46"/>
      <c r="Z44" s="46"/>
      <c r="AA44" s="40"/>
    </row>
    <row r="45">
      <c r="C45" s="113"/>
      <c r="F45" s="113"/>
      <c r="G45" s="113"/>
      <c r="V45" s="40"/>
      <c r="W45" s="40"/>
      <c r="X45" s="40"/>
      <c r="Y45" s="40"/>
      <c r="Z45" s="40"/>
      <c r="AA45" s="40"/>
    </row>
    <row r="46">
      <c r="C46" s="115" t="s">
        <v>66</v>
      </c>
      <c r="F46" s="113"/>
      <c r="G46" s="113"/>
      <c r="V46" s="40"/>
      <c r="W46" s="40"/>
      <c r="X46" s="40"/>
      <c r="Y46" s="40"/>
      <c r="Z46" s="40"/>
      <c r="AA46" s="40"/>
    </row>
    <row r="47">
      <c r="C47" s="116"/>
      <c r="V47" s="40"/>
      <c r="W47" s="40"/>
      <c r="X47" s="40"/>
      <c r="Y47" s="40"/>
      <c r="Z47" s="40"/>
      <c r="AA47" s="40"/>
    </row>
    <row r="48">
      <c r="V48" s="40"/>
      <c r="W48" s="40"/>
      <c r="X48" s="40"/>
      <c r="Y48" s="40"/>
      <c r="Z48" s="40"/>
      <c r="AA48" s="40"/>
    </row>
    <row r="49">
      <c r="V49" s="40"/>
      <c r="W49" s="40"/>
      <c r="X49" s="40"/>
      <c r="Y49" s="40"/>
      <c r="Z49" s="40"/>
      <c r="AA49" s="40"/>
    </row>
    <row r="50">
      <c r="V50" s="40"/>
      <c r="W50" s="40"/>
      <c r="X50" s="40"/>
      <c r="Y50" s="40"/>
      <c r="Z50" s="40"/>
      <c r="AA50" s="40"/>
    </row>
    <row r="51">
      <c r="V51" s="40"/>
      <c r="W51" s="40"/>
      <c r="X51" s="40"/>
      <c r="Y51" s="40"/>
      <c r="Z51" s="40"/>
      <c r="AA51" s="40"/>
    </row>
    <row r="52">
      <c r="V52" s="40"/>
      <c r="W52" s="40"/>
      <c r="X52" s="40"/>
      <c r="Y52" s="40"/>
      <c r="Z52" s="40"/>
      <c r="AA52" s="40"/>
    </row>
    <row r="53">
      <c r="C53" s="113"/>
      <c r="F53" s="113"/>
      <c r="G53" s="113"/>
      <c r="V53" s="40"/>
      <c r="W53" s="40"/>
      <c r="X53" s="40"/>
      <c r="Y53" s="40"/>
      <c r="Z53" s="40"/>
      <c r="AA53" s="40"/>
    </row>
    <row r="54">
      <c r="C54" s="113"/>
      <c r="F54" s="113"/>
      <c r="G54" s="113"/>
      <c r="V54" s="40"/>
      <c r="W54" s="40"/>
      <c r="X54" s="40"/>
      <c r="Y54" s="40"/>
      <c r="Z54" s="40"/>
      <c r="AA54" s="40"/>
    </row>
  </sheetData>
  <mergeCells count="18">
    <mergeCell ref="I30:J31"/>
    <mergeCell ref="B32:I34"/>
    <mergeCell ref="C38:T43"/>
    <mergeCell ref="C47:T52"/>
    <mergeCell ref="J32:M34"/>
    <mergeCell ref="N32:U34"/>
    <mergeCell ref="U30:U31"/>
    <mergeCell ref="S30:T31"/>
    <mergeCell ref="K28:K29"/>
    <mergeCell ref="S28:T29"/>
    <mergeCell ref="K30:K31"/>
    <mergeCell ref="G1:Q1"/>
    <mergeCell ref="C2:K2"/>
    <mergeCell ref="L2:L3"/>
    <mergeCell ref="M2:U2"/>
    <mergeCell ref="L24:L27"/>
    <mergeCell ref="I28:J29"/>
    <mergeCell ref="U28:U29"/>
  </mergeCells>
  <conditionalFormatting sqref="C4:U23">
    <cfRule type="expression" dxfId="0" priority="1">
      <formula>$I:$I&lt;&gt;""</formula>
    </cfRule>
  </conditionalFormatting>
  <conditionalFormatting sqref="C4:U23">
    <cfRule type="expression" dxfId="0" priority="2">
      <formula>$S:$S&lt;&gt;""</formula>
    </cfRule>
  </conditionalFormatting>
  <conditionalFormatting sqref="A1">
    <cfRule type="notContainsBlanks" dxfId="1" priority="3">
      <formula>LEN(TRIM(A1))&gt;0</formula>
    </cfRule>
  </conditionalFormatting>
  <conditionalFormatting sqref="X12">
    <cfRule type="notContainsBlanks" dxfId="1" priority="4">
      <formula>LEN(TRIM(X12))&gt;0</formula>
    </cfRule>
  </conditionalFormatting>
  <conditionalFormatting sqref="C38:T43">
    <cfRule type="expression" dxfId="2" priority="5">
      <formula>NOT(V32)</formula>
    </cfRule>
  </conditionalFormatting>
  <conditionalFormatting sqref="C37">
    <cfRule type="expression" dxfId="3" priority="6">
      <formula>NOT(V32)</formula>
    </cfRule>
  </conditionalFormatting>
  <dataValidations>
    <dataValidation type="list" allowBlank="1" showErrorMessage="1" sqref="I4:I23 S4:S23">
      <formula1>"0,10,20,30"</formula1>
    </dataValidation>
    <dataValidation type="list" allowBlank="1" showErrorMessage="1" sqref="C3:H3">
      <formula1>'ROUND 11'!$W$5:$W$11</formula1>
    </dataValidation>
    <dataValidation type="list" allowBlank="1" showErrorMessage="1" sqref="C4:H27 M4:R27">
      <formula1>"-5,10,15"</formula1>
    </dataValidation>
    <dataValidation type="list" allowBlank="1" showErrorMessage="1" sqref="M3:R3">
      <formula1>'ROUND 11'!$X$5:$X$11</formula1>
    </dataValidation>
    <dataValidation type="list" allowBlank="1" showErrorMessage="1" sqref="C2 M2">
      <formula1>INSTRUCTIONS!$A$28:$AJ$28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1" max="1" width="1.29"/>
    <col customWidth="1" min="2" max="2" width="5.0"/>
    <col customWidth="1" min="3" max="7" width="8.71"/>
    <col customWidth="1" min="8" max="8" width="8.43"/>
    <col customWidth="1" min="9" max="9" width="9.14"/>
    <col customWidth="1" min="10" max="10" width="8.29"/>
    <col customWidth="1" min="11" max="11" width="8.0"/>
    <col customWidth="1" min="12" max="12" width="8.86"/>
    <col customWidth="1" min="13" max="13" width="8.71"/>
    <col customWidth="1" min="14" max="14" width="8.43"/>
    <col customWidth="1" min="15" max="18" width="8.71"/>
    <col customWidth="1" min="19" max="19" width="8.86"/>
    <col customWidth="1" min="20" max="20" width="8.0"/>
    <col customWidth="1" min="21" max="21" width="8.43"/>
    <col customWidth="1" min="22" max="22" width="21.57"/>
  </cols>
  <sheetData>
    <row r="1" ht="18.75" customHeight="1">
      <c r="C1" s="2"/>
      <c r="D1" s="2"/>
      <c r="E1" s="2"/>
      <c r="F1" s="2"/>
      <c r="G1" s="5" t="s">
        <v>1</v>
      </c>
      <c r="R1" s="2"/>
      <c r="S1" s="2"/>
      <c r="T1" s="2"/>
      <c r="U1" s="2"/>
      <c r="V1" s="7"/>
      <c r="W1" s="7"/>
      <c r="X1" s="7"/>
      <c r="Y1" s="7"/>
      <c r="Z1" s="7"/>
    </row>
    <row r="2" ht="18.75" customHeight="1">
      <c r="C2" s="9" t="s">
        <v>5</v>
      </c>
      <c r="D2" s="11"/>
      <c r="E2" s="11"/>
      <c r="F2" s="11"/>
      <c r="G2" s="11"/>
      <c r="H2" s="11"/>
      <c r="I2" s="11"/>
      <c r="J2" s="11"/>
      <c r="K2" s="12"/>
      <c r="L2" s="15" t="s">
        <v>9</v>
      </c>
      <c r="M2" s="17" t="s">
        <v>42</v>
      </c>
      <c r="N2" s="11"/>
      <c r="O2" s="11"/>
      <c r="P2" s="11"/>
      <c r="Q2" s="11"/>
      <c r="R2" s="11"/>
      <c r="S2" s="11"/>
      <c r="T2" s="11"/>
      <c r="U2" s="12"/>
      <c r="V2" s="7"/>
      <c r="W2" s="7"/>
      <c r="X2" s="7"/>
      <c r="Y2" s="7"/>
      <c r="Z2" s="7"/>
    </row>
    <row r="3">
      <c r="C3" s="18" t="s">
        <v>43</v>
      </c>
      <c r="D3" s="20" t="s">
        <v>44</v>
      </c>
      <c r="E3" s="22" t="s">
        <v>45</v>
      </c>
      <c r="F3" s="20" t="s">
        <v>46</v>
      </c>
      <c r="G3" s="22" t="s">
        <v>47</v>
      </c>
      <c r="H3" s="20"/>
      <c r="I3" s="23" t="s">
        <v>24</v>
      </c>
      <c r="J3" s="24" t="s">
        <v>27</v>
      </c>
      <c r="K3" s="23" t="s">
        <v>29</v>
      </c>
      <c r="L3" s="25"/>
      <c r="M3" s="26" t="s">
        <v>30</v>
      </c>
      <c r="N3" s="28" t="s">
        <v>31</v>
      </c>
      <c r="O3" s="26" t="s">
        <v>33</v>
      </c>
      <c r="P3" s="28" t="s">
        <v>34</v>
      </c>
      <c r="Q3" s="26"/>
      <c r="R3" s="30"/>
      <c r="S3" s="23" t="s">
        <v>24</v>
      </c>
      <c r="T3" s="24" t="s">
        <v>27</v>
      </c>
      <c r="U3" s="23" t="s">
        <v>29</v>
      </c>
      <c r="V3" s="7"/>
      <c r="W3" s="7"/>
      <c r="X3" s="7"/>
      <c r="Y3" s="7"/>
      <c r="Z3" s="7"/>
    </row>
    <row r="4">
      <c r="C4" s="31"/>
      <c r="D4" s="32"/>
      <c r="E4" s="32"/>
      <c r="F4" s="32"/>
      <c r="G4" s="32"/>
      <c r="H4" s="32"/>
      <c r="I4" s="32"/>
      <c r="J4" s="37">
        <f t="shared" ref="J4:J23" si="1">IF(AND(COUNTA(C4:H4)=0,I4&gt;0), "BON.ERR", IF(COUNTA(C4:H4)&lt;=1, IF(AND(OR(C4&lt;0, D4&lt;0, E4&lt;0, F4&lt;0, G4&lt;0, H4&lt;0), I4&gt;0), "BON.ERR", SUM(C4:I4)), "TEAM.ERR"))</f>
        <v>0</v>
      </c>
      <c r="K4" s="38">
        <f>if(sum(sum(C4:H4), M4:R4)&lt;-6, "NEG.ERR", if(and(sum(C4:I4)&gt;0, sum(M4:S4)&gt;0), "ERROR", sum(J4)))</f>
        <v>0</v>
      </c>
      <c r="L4" s="39">
        <v>1.0</v>
      </c>
      <c r="M4" s="32"/>
      <c r="N4" s="32"/>
      <c r="O4" s="32"/>
      <c r="P4" s="37">
        <v>15.0</v>
      </c>
      <c r="Q4" s="32"/>
      <c r="R4" s="32"/>
      <c r="S4" s="37">
        <v>20.0</v>
      </c>
      <c r="T4" s="37">
        <f t="shared" ref="T4:T23" si="2">IF(AND(COUNTA(M4:R4)=0,S4&gt;0), "BON.ERR", IF(COUNTA(M4:R4)&lt;=1, IF(AND(OR(M4&lt;0, N4&lt;0, O4&lt;0, P4&lt;0, Q4&lt;0, R4&lt;0), S4&gt;0), "BON.ERR", SUM(M4:S4)), "TEAM.ERR"))</f>
        <v>35</v>
      </c>
      <c r="U4" s="38">
        <f>if(sum(sum(C4:H4), M4:R4)&lt;-6, "NEG.ERR", if(and(sum(C4:H4)&gt;0, sum(M4:R4)&gt;0), "ERROR", sum(T4)))</f>
        <v>35</v>
      </c>
      <c r="V4" s="40"/>
      <c r="W4" s="41" t="str">
        <f>IFERROR(__xludf.DUMMYFUNCTION("filter(INSTRUCTIONS!A28:AJ39, INSTRUCTIONS!A28:AJ28=C2)"),"BASIS INDEPENDENT MCLEAN A")</f>
        <v>BASIS INDEPENDENT MCLEAN A</v>
      </c>
      <c r="X4" s="41" t="str">
        <f>IFERROR(__xludf.DUMMYFUNCTION("filter(INSTRUCTIONS!A28:AJ39, INSTRUCTIONS!A28:AJ28=M2)"),"BURLEIGH MANOR A")</f>
        <v>BURLEIGH MANOR A</v>
      </c>
      <c r="Y4" s="41"/>
      <c r="Z4" s="40"/>
      <c r="AA4" s="40"/>
    </row>
    <row r="5">
      <c r="C5" s="31"/>
      <c r="D5" s="32"/>
      <c r="E5" s="32"/>
      <c r="F5" s="37">
        <v>15.0</v>
      </c>
      <c r="G5" s="32"/>
      <c r="H5" s="32"/>
      <c r="I5" s="37">
        <v>20.0</v>
      </c>
      <c r="J5" s="37">
        <f t="shared" si="1"/>
        <v>35</v>
      </c>
      <c r="K5" s="38">
        <f t="shared" ref="K5:K27" si="3">if(sum(sum(C5:H5), M5:R5)&lt;-6, "NEG.ERR", if(and(sum(C5:I5)&gt;0, sum(M5:S5)&gt;0), "ERROR", sum(J5,K4)))</f>
        <v>35</v>
      </c>
      <c r="L5" s="39">
        <v>2.0</v>
      </c>
      <c r="M5" s="32"/>
      <c r="N5" s="32"/>
      <c r="O5" s="32"/>
      <c r="P5" s="32"/>
      <c r="Q5" s="42"/>
      <c r="R5" s="42"/>
      <c r="S5" s="32"/>
      <c r="T5" s="37">
        <f t="shared" si="2"/>
        <v>0</v>
      </c>
      <c r="U5" s="38">
        <f t="shared" ref="U5:U27" si="4">if(sum(sum(C5:H5), M5:R5)&lt;-6, "NEG.ERR", if(and(sum(C5:H5)&gt;0, sum(M5:R5)&gt;0), "ERROR", sum(T5,U4)))</f>
        <v>35</v>
      </c>
      <c r="V5" s="40"/>
      <c r="W5" s="41" t="str">
        <f>IFERROR(__xludf.DUMMYFUNCTION("""COMPUTED_VALUE"""),"Jiaming Zhang")</f>
        <v>Jiaming Zhang</v>
      </c>
      <c r="X5" s="41" t="str">
        <f>IFERROR(__xludf.DUMMYFUNCTION("""COMPUTED_VALUE"""),"James Bombick")</f>
        <v>James Bombick</v>
      </c>
      <c r="Y5" s="41"/>
      <c r="Z5" s="40"/>
      <c r="AA5" s="40"/>
    </row>
    <row r="6">
      <c r="C6" s="31"/>
      <c r="D6" s="38">
        <v>15.0</v>
      </c>
      <c r="E6" s="42"/>
      <c r="F6" s="32"/>
      <c r="G6" s="42"/>
      <c r="H6" s="42"/>
      <c r="I6" s="37">
        <v>20.0</v>
      </c>
      <c r="J6" s="37">
        <f t="shared" si="1"/>
        <v>35</v>
      </c>
      <c r="K6" s="38">
        <f t="shared" si="3"/>
        <v>70</v>
      </c>
      <c r="L6" s="39">
        <v>3.0</v>
      </c>
      <c r="M6" s="42"/>
      <c r="N6" s="42"/>
      <c r="O6" s="32"/>
      <c r="P6" s="32"/>
      <c r="Q6" s="32"/>
      <c r="R6" s="42"/>
      <c r="S6" s="32"/>
      <c r="T6" s="37">
        <f t="shared" si="2"/>
        <v>0</v>
      </c>
      <c r="U6" s="38">
        <f t="shared" si="4"/>
        <v>35</v>
      </c>
      <c r="V6" s="40"/>
      <c r="W6" s="41" t="str">
        <f>IFERROR(__xludf.DUMMYFUNCTION("""COMPUTED_VALUE"""),"Brian Lai")</f>
        <v>Brian Lai</v>
      </c>
      <c r="X6" s="41" t="str">
        <f>IFERROR(__xludf.DUMMYFUNCTION("""COMPUTED_VALUE"""),"Hannah Fang")</f>
        <v>Hannah Fang</v>
      </c>
      <c r="Y6" s="41"/>
      <c r="Z6" s="40"/>
      <c r="AA6" s="40"/>
    </row>
    <row r="7">
      <c r="C7" s="31"/>
      <c r="D7" s="42"/>
      <c r="E7" s="42"/>
      <c r="F7" s="42"/>
      <c r="G7" s="42"/>
      <c r="H7" s="32"/>
      <c r="I7" s="32"/>
      <c r="J7" s="37">
        <f t="shared" si="1"/>
        <v>0</v>
      </c>
      <c r="K7" s="38">
        <f t="shared" si="3"/>
        <v>70</v>
      </c>
      <c r="L7" s="39">
        <v>4.0</v>
      </c>
      <c r="M7" s="38">
        <v>15.0</v>
      </c>
      <c r="N7" s="42"/>
      <c r="O7" s="42"/>
      <c r="P7" s="42"/>
      <c r="Q7" s="42"/>
      <c r="R7" s="42"/>
      <c r="S7" s="38">
        <v>30.0</v>
      </c>
      <c r="T7" s="37">
        <f t="shared" si="2"/>
        <v>45</v>
      </c>
      <c r="U7" s="38">
        <f t="shared" si="4"/>
        <v>80</v>
      </c>
      <c r="V7" s="40"/>
      <c r="W7" s="41" t="str">
        <f>IFERROR(__xludf.DUMMYFUNCTION("""COMPUTED_VALUE"""),"Alan Hsu")</f>
        <v>Alan Hsu</v>
      </c>
      <c r="X7" s="41" t="str">
        <f>IFERROR(__xludf.DUMMYFUNCTION("""COMPUTED_VALUE"""),"Anurag Sodhi")</f>
        <v>Anurag Sodhi</v>
      </c>
      <c r="Y7" s="41"/>
      <c r="Z7" s="40"/>
      <c r="AA7" s="40"/>
    </row>
    <row r="8">
      <c r="C8" s="31"/>
      <c r="D8" s="32"/>
      <c r="E8" s="32"/>
      <c r="F8" s="32"/>
      <c r="G8" s="42"/>
      <c r="H8" s="42"/>
      <c r="I8" s="32"/>
      <c r="J8" s="37">
        <f t="shared" si="1"/>
        <v>0</v>
      </c>
      <c r="K8" s="38">
        <f t="shared" si="3"/>
        <v>70</v>
      </c>
      <c r="L8" s="39">
        <v>5.0</v>
      </c>
      <c r="M8" s="37">
        <v>10.0</v>
      </c>
      <c r="N8" s="42"/>
      <c r="O8" s="42"/>
      <c r="P8" s="42"/>
      <c r="Q8" s="32"/>
      <c r="R8" s="42"/>
      <c r="S8" s="37">
        <v>30.0</v>
      </c>
      <c r="T8" s="37">
        <f t="shared" si="2"/>
        <v>40</v>
      </c>
      <c r="U8" s="38">
        <f t="shared" si="4"/>
        <v>120</v>
      </c>
      <c r="V8" s="40"/>
      <c r="W8" s="41" t="str">
        <f>IFERROR(__xludf.DUMMYFUNCTION("""COMPUTED_VALUE"""),"Kiran James")</f>
        <v>Kiran James</v>
      </c>
      <c r="X8" s="41" t="str">
        <f>IFERROR(__xludf.DUMMYFUNCTION("""COMPUTED_VALUE"""),"Chris Wu")</f>
        <v>Chris Wu</v>
      </c>
      <c r="Y8" s="41"/>
      <c r="Z8" s="40"/>
      <c r="AA8" s="40"/>
    </row>
    <row r="9">
      <c r="C9" s="44"/>
      <c r="D9" s="32"/>
      <c r="E9" s="32"/>
      <c r="F9" s="32"/>
      <c r="G9" s="32"/>
      <c r="H9" s="42"/>
      <c r="I9" s="32"/>
      <c r="J9" s="37">
        <f t="shared" si="1"/>
        <v>0</v>
      </c>
      <c r="K9" s="38">
        <f t="shared" si="3"/>
        <v>70</v>
      </c>
      <c r="L9" s="39">
        <v>6.0</v>
      </c>
      <c r="M9" s="38">
        <v>10.0</v>
      </c>
      <c r="N9" s="42"/>
      <c r="O9" s="42"/>
      <c r="P9" s="32"/>
      <c r="Q9" s="42"/>
      <c r="R9" s="42"/>
      <c r="S9" s="38">
        <v>10.0</v>
      </c>
      <c r="T9" s="37">
        <f t="shared" si="2"/>
        <v>20</v>
      </c>
      <c r="U9" s="38">
        <f t="shared" si="4"/>
        <v>140</v>
      </c>
      <c r="V9" s="40"/>
      <c r="W9" s="41" t="str">
        <f>IFERROR(__xludf.DUMMYFUNCTION("""COMPUTED_VALUE"""),"Jamal Baig")</f>
        <v>Jamal Baig</v>
      </c>
      <c r="X9" s="41" t="str">
        <f>IFERROR(__xludf.DUMMYFUNCTION("""COMPUTED_VALUE"""),"")</f>
        <v/>
      </c>
      <c r="Y9" s="41"/>
      <c r="Z9" s="40"/>
      <c r="AA9" s="40"/>
    </row>
    <row r="10">
      <c r="C10" s="44"/>
      <c r="D10" s="32"/>
      <c r="E10" s="42"/>
      <c r="F10" s="32"/>
      <c r="G10" s="42"/>
      <c r="H10" s="42"/>
      <c r="I10" s="32"/>
      <c r="J10" s="37">
        <f t="shared" si="1"/>
        <v>0</v>
      </c>
      <c r="K10" s="38">
        <f t="shared" si="3"/>
        <v>70</v>
      </c>
      <c r="L10" s="39">
        <v>7.0</v>
      </c>
      <c r="M10" s="42"/>
      <c r="N10" s="42"/>
      <c r="O10" s="32"/>
      <c r="P10" s="38">
        <v>-5.0</v>
      </c>
      <c r="Q10" s="42"/>
      <c r="R10" s="42"/>
      <c r="S10" s="37">
        <v>0.0</v>
      </c>
      <c r="T10" s="37">
        <f t="shared" si="2"/>
        <v>-5</v>
      </c>
      <c r="U10" s="38">
        <f t="shared" si="4"/>
        <v>135</v>
      </c>
      <c r="V10" s="40"/>
      <c r="W10" s="41" t="str">
        <f>IFERROR(__xludf.DUMMYFUNCTION("""COMPUTED_VALUE"""),"")</f>
        <v/>
      </c>
      <c r="X10" s="41" t="str">
        <f>IFERROR(__xludf.DUMMYFUNCTION("""COMPUTED_VALUE"""),"")</f>
        <v/>
      </c>
      <c r="Y10" s="41"/>
      <c r="Z10" s="40"/>
      <c r="AA10" s="40"/>
    </row>
    <row r="11">
      <c r="C11" s="44"/>
      <c r="D11" s="32"/>
      <c r="E11" s="42"/>
      <c r="F11" s="42"/>
      <c r="G11" s="42"/>
      <c r="H11" s="42"/>
      <c r="I11" s="32"/>
      <c r="J11" s="37">
        <f t="shared" si="1"/>
        <v>0</v>
      </c>
      <c r="K11" s="38">
        <f t="shared" si="3"/>
        <v>70</v>
      </c>
      <c r="L11" s="39">
        <v>8.0</v>
      </c>
      <c r="M11" s="38">
        <v>-5.0</v>
      </c>
      <c r="N11" s="42"/>
      <c r="O11" s="42"/>
      <c r="P11" s="42"/>
      <c r="Q11" s="42"/>
      <c r="R11" s="42"/>
      <c r="S11" s="38">
        <v>0.0</v>
      </c>
      <c r="T11" s="37">
        <f t="shared" si="2"/>
        <v>-5</v>
      </c>
      <c r="U11" s="38">
        <f t="shared" si="4"/>
        <v>130</v>
      </c>
      <c r="V11" s="40"/>
      <c r="W11" s="41" t="str">
        <f>IFERROR(__xludf.DUMMYFUNCTION("""COMPUTED_VALUE"""),"")</f>
        <v/>
      </c>
      <c r="X11" s="41" t="str">
        <f>IFERROR(__xludf.DUMMYFUNCTION("""COMPUTED_VALUE"""),"")</f>
        <v/>
      </c>
      <c r="Y11" s="41"/>
      <c r="Z11" s="40"/>
      <c r="AA11" s="40"/>
    </row>
    <row r="12">
      <c r="C12" s="44"/>
      <c r="D12" s="37">
        <v>10.0</v>
      </c>
      <c r="E12" s="42"/>
      <c r="F12" s="42"/>
      <c r="G12" s="42"/>
      <c r="H12" s="42"/>
      <c r="I12" s="37">
        <v>0.0</v>
      </c>
      <c r="J12" s="37">
        <f t="shared" si="1"/>
        <v>10</v>
      </c>
      <c r="K12" s="38">
        <f t="shared" si="3"/>
        <v>80</v>
      </c>
      <c r="L12" s="39">
        <v>9.0</v>
      </c>
      <c r="M12" s="38">
        <v>-5.0</v>
      </c>
      <c r="N12" s="32"/>
      <c r="O12" s="42"/>
      <c r="P12" s="42"/>
      <c r="Q12" s="42"/>
      <c r="R12" s="42"/>
      <c r="S12" s="32"/>
      <c r="T12" s="37">
        <f t="shared" si="2"/>
        <v>-5</v>
      </c>
      <c r="U12" s="38">
        <f t="shared" si="4"/>
        <v>125</v>
      </c>
      <c r="V12" s="40"/>
      <c r="W12" s="41" t="str">
        <f>IFERROR(__xludf.DUMMYFUNCTION("""COMPUTED_VALUE"""),"")</f>
        <v/>
      </c>
      <c r="X12" s="41" t="str">
        <f>IFERROR(__xludf.DUMMYFUNCTION("""COMPUTED_VALUE"""),"")</f>
        <v/>
      </c>
      <c r="Y12" s="41"/>
      <c r="Z12" s="40"/>
      <c r="AA12" s="40"/>
    </row>
    <row r="13">
      <c r="C13" s="44"/>
      <c r="D13" s="32"/>
      <c r="E13" s="32"/>
      <c r="F13" s="42"/>
      <c r="G13" s="42"/>
      <c r="H13" s="42"/>
      <c r="I13" s="32"/>
      <c r="J13" s="37">
        <f t="shared" si="1"/>
        <v>0</v>
      </c>
      <c r="K13" s="38">
        <f t="shared" si="3"/>
        <v>80</v>
      </c>
      <c r="L13" s="39">
        <v>10.0</v>
      </c>
      <c r="M13" s="38">
        <v>10.0</v>
      </c>
      <c r="N13" s="42"/>
      <c r="O13" s="32"/>
      <c r="P13" s="42"/>
      <c r="Q13" s="42"/>
      <c r="R13" s="42"/>
      <c r="S13" s="37">
        <v>20.0</v>
      </c>
      <c r="T13" s="37">
        <f t="shared" si="2"/>
        <v>30</v>
      </c>
      <c r="U13" s="38">
        <f t="shared" si="4"/>
        <v>155</v>
      </c>
      <c r="V13" s="40"/>
      <c r="W13" s="40" t="str">
        <f>IFERROR(__xludf.DUMMYFUNCTION("""COMPUTED_VALUE"""),"")</f>
        <v/>
      </c>
      <c r="X13" s="40" t="str">
        <f>IFERROR(__xludf.DUMMYFUNCTION("""COMPUTED_VALUE"""),"")</f>
        <v/>
      </c>
      <c r="Y13" s="40"/>
      <c r="Z13" s="40"/>
      <c r="AA13" s="40"/>
    </row>
    <row r="14">
      <c r="C14" s="31"/>
      <c r="D14" s="32"/>
      <c r="E14" s="42"/>
      <c r="F14" s="42"/>
      <c r="G14" s="42"/>
      <c r="H14" s="42"/>
      <c r="I14" s="32"/>
      <c r="J14" s="37">
        <f t="shared" si="1"/>
        <v>0</v>
      </c>
      <c r="K14" s="38">
        <f t="shared" si="3"/>
        <v>80</v>
      </c>
      <c r="L14" s="39">
        <v>11.0</v>
      </c>
      <c r="M14" s="32"/>
      <c r="N14" s="42"/>
      <c r="O14" s="37">
        <v>10.0</v>
      </c>
      <c r="P14" s="42"/>
      <c r="Q14" s="42"/>
      <c r="R14" s="42"/>
      <c r="S14" s="37">
        <v>30.0</v>
      </c>
      <c r="T14" s="37">
        <f t="shared" si="2"/>
        <v>40</v>
      </c>
      <c r="U14" s="38">
        <f t="shared" si="4"/>
        <v>195</v>
      </c>
      <c r="V14" s="46"/>
      <c r="W14" s="46" t="str">
        <f>IFERROR(__xludf.DUMMYFUNCTION("""COMPUTED_VALUE"""),"")</f>
        <v/>
      </c>
      <c r="X14" s="46" t="str">
        <f>IFERROR(__xludf.DUMMYFUNCTION("""COMPUTED_VALUE"""),"")</f>
        <v/>
      </c>
      <c r="Y14" s="46"/>
      <c r="Z14" s="46"/>
      <c r="AA14" s="46"/>
    </row>
    <row r="15">
      <c r="C15" s="44"/>
      <c r="D15" s="42"/>
      <c r="E15" s="42"/>
      <c r="F15" s="32"/>
      <c r="G15" s="42"/>
      <c r="H15" s="42"/>
      <c r="I15" s="32"/>
      <c r="J15" s="37">
        <f t="shared" si="1"/>
        <v>0</v>
      </c>
      <c r="K15" s="38">
        <f t="shared" si="3"/>
        <v>80</v>
      </c>
      <c r="L15" s="39">
        <v>12.0</v>
      </c>
      <c r="M15" s="38">
        <v>10.0</v>
      </c>
      <c r="N15" s="32"/>
      <c r="O15" s="42"/>
      <c r="P15" s="42"/>
      <c r="Q15" s="42"/>
      <c r="R15" s="42"/>
      <c r="S15" s="38">
        <v>0.0</v>
      </c>
      <c r="T15" s="37">
        <f t="shared" si="2"/>
        <v>10</v>
      </c>
      <c r="U15" s="38">
        <f t="shared" si="4"/>
        <v>205</v>
      </c>
      <c r="V15" s="46"/>
      <c r="W15" s="46" t="str">
        <f>IFERROR(__xludf.DUMMYFUNCTION("""COMPUTED_VALUE"""),"")</f>
        <v/>
      </c>
      <c r="X15" s="46" t="str">
        <f>IFERROR(__xludf.DUMMYFUNCTION("""COMPUTED_VALUE"""),"")</f>
        <v/>
      </c>
      <c r="Y15" s="46"/>
      <c r="Z15" s="46"/>
      <c r="AA15" s="46"/>
    </row>
    <row r="16">
      <c r="C16" s="31"/>
      <c r="D16" s="42"/>
      <c r="E16" s="42"/>
      <c r="F16" s="42"/>
      <c r="G16" s="42"/>
      <c r="H16" s="32"/>
      <c r="I16" s="32"/>
      <c r="J16" s="37">
        <f t="shared" si="1"/>
        <v>0</v>
      </c>
      <c r="K16" s="38">
        <f t="shared" si="3"/>
        <v>80</v>
      </c>
      <c r="L16" s="39">
        <v>13.0</v>
      </c>
      <c r="M16" s="32"/>
      <c r="N16" s="38">
        <v>10.0</v>
      </c>
      <c r="O16" s="42"/>
      <c r="P16" s="42"/>
      <c r="Q16" s="42"/>
      <c r="R16" s="42"/>
      <c r="S16" s="37">
        <v>10.0</v>
      </c>
      <c r="T16" s="37">
        <f t="shared" si="2"/>
        <v>20</v>
      </c>
      <c r="U16" s="38">
        <f t="shared" si="4"/>
        <v>225</v>
      </c>
      <c r="V16" s="46"/>
      <c r="W16" s="46"/>
      <c r="X16" s="46"/>
      <c r="Y16" s="46"/>
      <c r="Z16" s="46"/>
      <c r="AA16" s="46"/>
    </row>
    <row r="17">
      <c r="C17" s="31"/>
      <c r="D17" s="42"/>
      <c r="E17" s="42"/>
      <c r="F17" s="42"/>
      <c r="G17" s="42"/>
      <c r="H17" s="42"/>
      <c r="I17" s="32"/>
      <c r="J17" s="37">
        <f t="shared" si="1"/>
        <v>0</v>
      </c>
      <c r="K17" s="38">
        <f t="shared" si="3"/>
        <v>80</v>
      </c>
      <c r="L17" s="39">
        <v>14.0</v>
      </c>
      <c r="M17" s="37">
        <v>15.0</v>
      </c>
      <c r="N17" s="42"/>
      <c r="O17" s="32"/>
      <c r="P17" s="42"/>
      <c r="Q17" s="42"/>
      <c r="R17" s="42"/>
      <c r="S17" s="37">
        <v>20.0</v>
      </c>
      <c r="T17" s="37">
        <f t="shared" si="2"/>
        <v>35</v>
      </c>
      <c r="U17" s="38">
        <f t="shared" si="4"/>
        <v>260</v>
      </c>
      <c r="V17" s="40"/>
      <c r="W17" s="40"/>
      <c r="X17" s="40"/>
      <c r="Y17" s="40"/>
      <c r="Z17" s="46"/>
      <c r="AA17" s="46"/>
    </row>
    <row r="18">
      <c r="C18" s="44"/>
      <c r="D18" s="42"/>
      <c r="E18" s="42"/>
      <c r="F18" s="42"/>
      <c r="G18" s="42"/>
      <c r="H18" s="42"/>
      <c r="I18" s="32"/>
      <c r="J18" s="37">
        <f t="shared" si="1"/>
        <v>0</v>
      </c>
      <c r="K18" s="38">
        <f t="shared" si="3"/>
        <v>80</v>
      </c>
      <c r="L18" s="39">
        <v>15.0</v>
      </c>
      <c r="M18" s="37">
        <v>10.0</v>
      </c>
      <c r="N18" s="42"/>
      <c r="O18" s="42"/>
      <c r="P18" s="42"/>
      <c r="Q18" s="42"/>
      <c r="R18" s="42"/>
      <c r="S18" s="37">
        <v>30.0</v>
      </c>
      <c r="T18" s="37">
        <f t="shared" si="2"/>
        <v>40</v>
      </c>
      <c r="U18" s="38">
        <f t="shared" si="4"/>
        <v>300</v>
      </c>
      <c r="V18" s="40" t="str">
        <f>IFERROR(__xludf.DUMMYFUNCTION("IF(NOT(EQ(C38, """")), SPLIT(C38, "";""), """")"),"")</f>
        <v/>
      </c>
      <c r="W18" s="47"/>
      <c r="X18" s="40"/>
      <c r="Y18" s="40"/>
      <c r="Z18" s="46"/>
      <c r="AA18" s="46"/>
    </row>
    <row r="19">
      <c r="C19" s="44"/>
      <c r="D19" s="42"/>
      <c r="E19" s="42"/>
      <c r="F19" s="42"/>
      <c r="G19" s="42"/>
      <c r="H19" s="42"/>
      <c r="I19" s="32"/>
      <c r="J19" s="37">
        <f t="shared" si="1"/>
        <v>0</v>
      </c>
      <c r="K19" s="38">
        <f t="shared" si="3"/>
        <v>80</v>
      </c>
      <c r="L19" s="39">
        <v>16.0</v>
      </c>
      <c r="M19" s="37">
        <v>15.0</v>
      </c>
      <c r="N19" s="42"/>
      <c r="O19" s="42"/>
      <c r="P19" s="42"/>
      <c r="Q19" s="42"/>
      <c r="R19" s="42"/>
      <c r="S19" s="37">
        <v>30.0</v>
      </c>
      <c r="T19" s="37">
        <f t="shared" si="2"/>
        <v>45</v>
      </c>
      <c r="U19" s="38">
        <f t="shared" si="4"/>
        <v>345</v>
      </c>
      <c r="V19" s="40" t="str">
        <f t="shared" ref="V19:Y19" si="5">TRIM(V18)</f>
        <v/>
      </c>
      <c r="W19" s="40" t="str">
        <f t="shared" si="5"/>
        <v/>
      </c>
      <c r="X19" s="40" t="str">
        <f t="shared" si="5"/>
        <v/>
      </c>
      <c r="Y19" s="40" t="str">
        <f t="shared" si="5"/>
        <v/>
      </c>
      <c r="Z19" s="46"/>
      <c r="AA19" s="46"/>
    </row>
    <row r="20">
      <c r="C20" s="31"/>
      <c r="D20" s="42"/>
      <c r="E20" s="42"/>
      <c r="F20" s="42"/>
      <c r="G20" s="42"/>
      <c r="H20" s="42"/>
      <c r="I20" s="32"/>
      <c r="J20" s="37">
        <f t="shared" si="1"/>
        <v>0</v>
      </c>
      <c r="K20" s="38">
        <f t="shared" si="3"/>
        <v>80</v>
      </c>
      <c r="L20" s="39">
        <v>17.0</v>
      </c>
      <c r="M20" s="37">
        <v>-5.0</v>
      </c>
      <c r="N20" s="42"/>
      <c r="O20" s="42"/>
      <c r="P20" s="42"/>
      <c r="Q20" s="42"/>
      <c r="R20" s="42"/>
      <c r="S20" s="37">
        <v>0.0</v>
      </c>
      <c r="T20" s="37">
        <f t="shared" si="2"/>
        <v>-5</v>
      </c>
      <c r="U20" s="38">
        <f t="shared" si="4"/>
        <v>340</v>
      </c>
      <c r="V20" s="40" t="b">
        <f t="shared" ref="V20:Y20" si="6">EQ(V19,"")</f>
        <v>1</v>
      </c>
      <c r="W20" s="40" t="b">
        <f t="shared" si="6"/>
        <v>1</v>
      </c>
      <c r="X20" s="40" t="b">
        <f t="shared" si="6"/>
        <v>1</v>
      </c>
      <c r="Y20" s="40" t="b">
        <f t="shared" si="6"/>
        <v>1</v>
      </c>
      <c r="Z20" s="46"/>
      <c r="AA20" s="46"/>
    </row>
    <row r="21">
      <c r="C21" s="44"/>
      <c r="D21" s="38">
        <v>10.0</v>
      </c>
      <c r="E21" s="42"/>
      <c r="F21" s="42"/>
      <c r="G21" s="42"/>
      <c r="H21" s="42"/>
      <c r="I21" s="37">
        <v>30.0</v>
      </c>
      <c r="J21" s="37">
        <f t="shared" si="1"/>
        <v>40</v>
      </c>
      <c r="K21" s="38">
        <f t="shared" si="3"/>
        <v>120</v>
      </c>
      <c r="L21" s="39">
        <v>18.0</v>
      </c>
      <c r="M21" s="42"/>
      <c r="N21" s="32"/>
      <c r="O21" s="42"/>
      <c r="P21" s="42"/>
      <c r="Q21" s="42"/>
      <c r="R21" s="42"/>
      <c r="S21" s="32"/>
      <c r="T21" s="37">
        <f t="shared" si="2"/>
        <v>0</v>
      </c>
      <c r="U21" s="38">
        <f t="shared" si="4"/>
        <v>340</v>
      </c>
      <c r="V21" s="57" t="b">
        <f>EQ(UPPER(C2), LEFT(UPPER(V19), LEN(C2)))</f>
        <v>0</v>
      </c>
      <c r="W21" s="57" t="b">
        <f>EQ(UPPER(C2), LEFT(UPPER(W19), LEN(C2)))</f>
        <v>0</v>
      </c>
      <c r="X21" s="57" t="b">
        <f>EQ(UPPER(C2), LEFT(UPPER(X19), LEN(C2)))</f>
        <v>0</v>
      </c>
      <c r="Y21" s="57" t="b">
        <f>EQ(UPPER(C2), LEFT(UPPER(Y19), LEN(C2)))</f>
        <v>0</v>
      </c>
      <c r="Z21" s="46"/>
      <c r="AA21" s="46"/>
    </row>
    <row r="22">
      <c r="C22" s="45">
        <v>15.0</v>
      </c>
      <c r="D22" s="42"/>
      <c r="E22" s="42"/>
      <c r="F22" s="42"/>
      <c r="G22" s="42"/>
      <c r="H22" s="42"/>
      <c r="I22" s="38">
        <v>20.0</v>
      </c>
      <c r="J22" s="37">
        <f t="shared" si="1"/>
        <v>35</v>
      </c>
      <c r="K22" s="38">
        <f t="shared" si="3"/>
        <v>155</v>
      </c>
      <c r="L22" s="39">
        <v>19.0</v>
      </c>
      <c r="M22" s="42"/>
      <c r="N22" s="42"/>
      <c r="O22" s="32"/>
      <c r="P22" s="42"/>
      <c r="Q22" s="42"/>
      <c r="R22" s="42"/>
      <c r="S22" s="32"/>
      <c r="T22" s="37">
        <f t="shared" si="2"/>
        <v>0</v>
      </c>
      <c r="U22" s="38">
        <f t="shared" si="4"/>
        <v>340</v>
      </c>
      <c r="V22" s="57" t="b">
        <f>EQ(UPPER(M2), LEFT(UPPER(V19), LEN(M2)))</f>
        <v>0</v>
      </c>
      <c r="W22" s="57" t="b">
        <f>EQ(UPPER(M2), LEFT(UPPER(W19), LEN(M2)))</f>
        <v>0</v>
      </c>
      <c r="X22" s="40" t="b">
        <f>EQ(UPPER(M2), LEFT(UPPER(X19), LEN(M2)))</f>
        <v>0</v>
      </c>
      <c r="Y22" s="57" t="b">
        <f>EQ(UPPER(M2), LEFT(UPPER(Y19), LEN(M2)))</f>
        <v>0</v>
      </c>
      <c r="Z22" s="46"/>
      <c r="AA22" s="46"/>
    </row>
    <row r="23">
      <c r="C23" s="31"/>
      <c r="D23" s="42"/>
      <c r="E23" s="42"/>
      <c r="F23" s="42"/>
      <c r="G23" s="42"/>
      <c r="H23" s="42"/>
      <c r="I23" s="32"/>
      <c r="J23" s="37">
        <f t="shared" si="1"/>
        <v>0</v>
      </c>
      <c r="K23" s="38">
        <f t="shared" si="3"/>
        <v>155</v>
      </c>
      <c r="L23" s="39">
        <v>20.0</v>
      </c>
      <c r="M23" s="37">
        <v>15.0</v>
      </c>
      <c r="N23" s="42"/>
      <c r="O23" s="42"/>
      <c r="P23" s="42"/>
      <c r="Q23" s="42"/>
      <c r="R23" s="42"/>
      <c r="S23" s="38">
        <v>30.0</v>
      </c>
      <c r="T23" s="37">
        <f t="shared" si="2"/>
        <v>45</v>
      </c>
      <c r="U23" s="38">
        <f t="shared" si="4"/>
        <v>385</v>
      </c>
      <c r="V23" s="57" t="b">
        <f>IFERROR(__xludf.DUMMYFUNCTION("IFERROR(OR(REGEXEXTRACT(V19, ""[0-9]+ :|[0-9]+:""), True), False)"),FALSE)</f>
        <v>0</v>
      </c>
      <c r="W23" s="57" t="b">
        <f>IFERROR(__xludf.DUMMYFUNCTION("IFERROR(OR(REGEXEXTRACT(W19, ""[0-9]+ :|[0-9]+:""), True), False)"),FALSE)</f>
        <v>0</v>
      </c>
      <c r="X23" s="57" t="b">
        <f>IFERROR(__xludf.DUMMYFUNCTION("IFERROR(OR(REGEXEXTRACT(X19, ""[0-9]+ :|[0-9]+:""), True), False)"),FALSE)</f>
        <v>0</v>
      </c>
      <c r="Y23" s="57" t="b">
        <f>IFERROR(__xludf.DUMMYFUNCTION("IFERROR(OR(REGEXEXTRACT(Y19, ""[0-9]+ :|[0-9]+:""), True), False)"),FALSE)</f>
        <v>0</v>
      </c>
      <c r="Z23" s="46"/>
      <c r="AA23" s="46"/>
    </row>
    <row r="24">
      <c r="C24" s="67"/>
      <c r="D24" s="59"/>
      <c r="E24" s="60"/>
      <c r="F24" s="61"/>
      <c r="G24" s="60"/>
      <c r="H24" s="59"/>
      <c r="I24" s="62" t="s">
        <v>59</v>
      </c>
      <c r="J24" s="63">
        <f t="shared" ref="J24:J27" si="8">IF(COUNTA(C24:H24)&lt;=1, IF(AND(OR(C24&lt;0, D24&lt;0, E24&lt;0, F24&lt;0, G24&lt;0, H24&lt;0), I24&gt;0), "BON.ERR", SUM(C24:H24)), "NEG.ERR")</f>
        <v>0</v>
      </c>
      <c r="K24" s="64">
        <f t="shared" si="3"/>
        <v>155</v>
      </c>
      <c r="L24" s="68" t="s">
        <v>60</v>
      </c>
      <c r="M24" s="66"/>
      <c r="N24" s="59"/>
      <c r="O24" s="66"/>
      <c r="P24" s="59"/>
      <c r="Q24" s="66"/>
      <c r="R24" s="59"/>
      <c r="S24" s="62" t="s">
        <v>59</v>
      </c>
      <c r="T24" s="63">
        <f t="shared" ref="T24:T27" si="9">IF(COUNTA(M24:R24)&lt;=1, IF(AND(OR(M24&lt;0, N24&lt;0, O24&lt;0, P24&lt;0, Q24&lt;0, R24&lt;0), S24&gt;0), "BON.ERR", SUM(M24:R24)), "NEG.ERR")</f>
        <v>0</v>
      </c>
      <c r="U24" s="64">
        <f t="shared" si="4"/>
        <v>385</v>
      </c>
      <c r="V24" s="57" t="b">
        <f t="shared" ref="V24:W24" si="7">IFERROR(IF(V21, AND(FIND(UPPER(C3), UPPER(V19)) &gt; 0, NOT(EQ(C3,""))), AND(FIND(UPPER(M3), UPPER(V19)) &gt; 0, NOT(EQ(M3,"")))), FALSE)</f>
        <v>0</v>
      </c>
      <c r="W24" s="57" t="b">
        <f t="shared" si="7"/>
        <v>0</v>
      </c>
      <c r="X24" s="57" t="b">
        <f>IFERROR(IF(X21, AND(FIND(UPPER(C3), UPPER(X19)) &gt; 0, NOT(EQ(C3,""))), AND(FIND(UPPER(M3), UPPER(X19)) &gt; 0, NOT(EQ(M3,"")))), FALSE)</f>
        <v>0</v>
      </c>
      <c r="Y24" s="57" t="b">
        <f>IFERROR(IF(Y21, AND(FIND(UPPER(C3), UPPER(Y19)) &gt; 0, NOT(EQ(C3,""))), AND(FIND(UPPER(M3), UPPER(Y19)) &gt; 0, NOT(EQ(M3,"")))), FALSE)</f>
        <v>0</v>
      </c>
      <c r="Z24" s="46"/>
      <c r="AA24" s="46"/>
    </row>
    <row r="25">
      <c r="C25" s="67"/>
      <c r="D25" s="61"/>
      <c r="E25" s="60"/>
      <c r="F25" s="59"/>
      <c r="G25" s="60"/>
      <c r="H25" s="59"/>
      <c r="I25" s="62" t="s">
        <v>59</v>
      </c>
      <c r="J25" s="63">
        <f t="shared" si="8"/>
        <v>0</v>
      </c>
      <c r="K25" s="64">
        <f t="shared" si="3"/>
        <v>155</v>
      </c>
      <c r="L25" s="25"/>
      <c r="M25" s="66"/>
      <c r="N25" s="59"/>
      <c r="O25" s="66"/>
      <c r="P25" s="59"/>
      <c r="Q25" s="66"/>
      <c r="R25" s="59"/>
      <c r="S25" s="62" t="s">
        <v>59</v>
      </c>
      <c r="T25" s="63">
        <f t="shared" si="9"/>
        <v>0</v>
      </c>
      <c r="U25" s="64">
        <f t="shared" si="4"/>
        <v>385</v>
      </c>
      <c r="V25" s="57" t="b">
        <f t="shared" ref="V25:W25" si="10">IFERROR(IF(V21, AND(FIND(UPPER(D3), UPPER(V19)) &gt; 0, NOT(EQ(D3,""))), AND(FIND(UPPER(N3), UPPER(V19)) &gt; 0, NOT(EQ(N3,"")))), FALSE)</f>
        <v>0</v>
      </c>
      <c r="W25" s="57" t="b">
        <f t="shared" si="10"/>
        <v>0</v>
      </c>
      <c r="X25" s="57" t="b">
        <f>IFERROR(IF(X21, AND(FIND(UPPER(D3), UPPER(X19)) &gt; 0, NOT(EQ(D3,""))), AND(FIND(UPPER(N3), UPPER(X19)) &gt; 0, NOT(EQ(N3,"")))), FALSE)</f>
        <v>0</v>
      </c>
      <c r="Y25" s="57" t="b">
        <f>IFERROR(IF(Y21, AND(FIND(UPPER(D3), UPPER(Y19)) &gt; 0, NOT(EQ(D3,""))), AND(FIND(UPPER(N3), UPPER(Y19)) &gt; 0, NOT(EQ(N3,"")))), FALSE)</f>
        <v>0</v>
      </c>
      <c r="Z25" s="46"/>
      <c r="AA25" s="46"/>
    </row>
    <row r="26">
      <c r="C26" s="67"/>
      <c r="D26" s="59"/>
      <c r="E26" s="60"/>
      <c r="F26" s="59"/>
      <c r="G26" s="60"/>
      <c r="H26" s="59"/>
      <c r="I26" s="62" t="s">
        <v>59</v>
      </c>
      <c r="J26" s="63">
        <f t="shared" si="8"/>
        <v>0</v>
      </c>
      <c r="K26" s="64">
        <f t="shared" si="3"/>
        <v>155</v>
      </c>
      <c r="L26" s="25"/>
      <c r="M26" s="66"/>
      <c r="N26" s="59"/>
      <c r="O26" s="66"/>
      <c r="P26" s="59"/>
      <c r="Q26" s="66"/>
      <c r="R26" s="59"/>
      <c r="S26" s="62" t="s">
        <v>59</v>
      </c>
      <c r="T26" s="63">
        <f t="shared" si="9"/>
        <v>0</v>
      </c>
      <c r="U26" s="64">
        <f t="shared" si="4"/>
        <v>385</v>
      </c>
      <c r="V26" s="57" t="b">
        <f t="shared" ref="V26:W26" si="11">IFERROR(IF(V21, AND(FIND(UPPER(E3), UPPER(V19)) &gt; 0, NOT(EQ(E3,""))), AND(FIND(UPPER(O3), UPPER(V19)) &gt; 0, NOT(EQ(O3,"")))), FALSE)</f>
        <v>0</v>
      </c>
      <c r="W26" s="57" t="b">
        <f t="shared" si="11"/>
        <v>0</v>
      </c>
      <c r="X26" s="57" t="b">
        <f>IFERROR(IF(X21, AND(FIND(UPPER(E3), UPPER(X19)) &gt; 0, NOT(EQ(E3,""))), AND(FIND(UPPER(O3), UPPER(X19)) &gt; 0, NOT(EQ(O3,"")))), FALSE)</f>
        <v>0</v>
      </c>
      <c r="Y26" s="57" t="b">
        <f>IFERROR(IF(Y21, AND(FIND(UPPER(E3), UPPER(Y19)) &gt; 0, NOT(EQ(E3,""))), AND(FIND(UPPER(O3), UPPER(Y19)) &gt; 0, NOT(EQ(O3,"")))), FALSE)</f>
        <v>0</v>
      </c>
      <c r="Z26" s="46"/>
      <c r="AA26" s="46"/>
    </row>
    <row r="27">
      <c r="C27" s="67"/>
      <c r="D27" s="59"/>
      <c r="E27" s="60"/>
      <c r="F27" s="59"/>
      <c r="G27" s="60"/>
      <c r="H27" s="59"/>
      <c r="I27" s="62" t="s">
        <v>59</v>
      </c>
      <c r="J27" s="63">
        <f t="shared" si="8"/>
        <v>0</v>
      </c>
      <c r="K27" s="64">
        <f t="shared" si="3"/>
        <v>155</v>
      </c>
      <c r="L27" s="69"/>
      <c r="M27" s="66"/>
      <c r="N27" s="59"/>
      <c r="O27" s="66"/>
      <c r="P27" s="59"/>
      <c r="Q27" s="66"/>
      <c r="R27" s="59"/>
      <c r="S27" s="62" t="s">
        <v>59</v>
      </c>
      <c r="T27" s="63">
        <f t="shared" si="9"/>
        <v>0</v>
      </c>
      <c r="U27" s="64">
        <f t="shared" si="4"/>
        <v>385</v>
      </c>
      <c r="V27" s="57" t="b">
        <f t="shared" ref="V27:W27" si="12">IFERROR(IF(V21, AND(FIND(UPPER(F3), UPPER(V19)) &gt; 0, NOT(EQ(F3,""))), AND(FIND(UPPER(P3), UPPER(V19)) &gt; 0, NOT(EQ(P3,"")))), FALSE)</f>
        <v>0</v>
      </c>
      <c r="W27" s="57" t="b">
        <f t="shared" si="12"/>
        <v>0</v>
      </c>
      <c r="X27" s="57" t="b">
        <f>IFERROR(IF(X21, AND(FIND(UPPER(F3), UPPER(X19)) &gt; 0, NOT(EQ(F3,""))), AND(FIND(UPPER(P3), UPPER(X19)) &gt; 0, NOT(EQ(P3,"")))), FALSE)</f>
        <v>0</v>
      </c>
      <c r="Y27" s="57" t="b">
        <f>IFERROR(IF(Y21, AND(FIND(UPPER(F3), UPPER(Y19)) &gt; 0, NOT(EQ(F3,""))), AND(FIND(UPPER(P3), UPPER(Y19)) &gt; 0, NOT(EQ(P3,"")))), FALSE)</f>
        <v>0</v>
      </c>
      <c r="Z27" s="46"/>
      <c r="AA27" s="46"/>
    </row>
    <row r="28">
      <c r="B28" s="70">
        <v>15.0</v>
      </c>
      <c r="C28" s="71">
        <f t="shared" ref="C28:H28" si="13">COUNTIF(C4:C27, "=15")</f>
        <v>1</v>
      </c>
      <c r="D28" s="72">
        <f t="shared" si="13"/>
        <v>1</v>
      </c>
      <c r="E28" s="71">
        <f t="shared" si="13"/>
        <v>0</v>
      </c>
      <c r="F28" s="72">
        <f t="shared" si="13"/>
        <v>1</v>
      </c>
      <c r="G28" s="71">
        <f t="shared" si="13"/>
        <v>0</v>
      </c>
      <c r="H28" s="72">
        <f t="shared" si="13"/>
        <v>0</v>
      </c>
      <c r="I28" s="73" t="s">
        <v>61</v>
      </c>
      <c r="J28" s="74"/>
      <c r="K28" s="75" t="s">
        <v>62</v>
      </c>
      <c r="L28" s="76">
        <v>15.0</v>
      </c>
      <c r="M28" s="77">
        <f t="shared" ref="M28:R28" si="14">COUNTIF(M4:M27, "=15")</f>
        <v>4</v>
      </c>
      <c r="N28" s="78">
        <f t="shared" si="14"/>
        <v>0</v>
      </c>
      <c r="O28" s="77">
        <f t="shared" si="14"/>
        <v>0</v>
      </c>
      <c r="P28" s="78">
        <f t="shared" si="14"/>
        <v>1</v>
      </c>
      <c r="Q28" s="77">
        <f t="shared" si="14"/>
        <v>0</v>
      </c>
      <c r="R28" s="78">
        <f t="shared" si="14"/>
        <v>0</v>
      </c>
      <c r="S28" s="79" t="s">
        <v>61</v>
      </c>
      <c r="T28" s="74"/>
      <c r="U28" s="80" t="s">
        <v>62</v>
      </c>
      <c r="V28" s="57" t="b">
        <f t="shared" ref="V28:W28" si="15">IFERROR(IF(V21, AND(FIND(UPPER(G3), UPPER(V19)) &gt; 0, NOT(EQ(G3,""))), AND(FIND(UPPER(Q3), UPPER(V19)) &gt; 0, NOT(EQ(Q3,"")))), FALSE)</f>
        <v>0</v>
      </c>
      <c r="W28" s="57" t="b">
        <f t="shared" si="15"/>
        <v>0</v>
      </c>
      <c r="X28" s="57" t="b">
        <f>IFERROR(IF(X21, AND(FIND(UPPER(G3), UPPER(X19)) &gt; 0, NOT(EQ(G3,""))), AND(FIND(UPPER(Q3), UPPER(X19)) &gt; 0, NOT(EQ(Q3,"")))), FALSE)</f>
        <v>0</v>
      </c>
      <c r="Y28" s="57" t="b">
        <f>IFERROR(IF(Y21, AND(FIND(UPPER(G3), UPPER(Y19)) &gt; 0, NOT(EQ(G3,""))), AND(FIND(UPPER(Q3), UPPER(Y19)) &gt; 0, NOT(EQ(Q3,"")))), FALSE)</f>
        <v>0</v>
      </c>
      <c r="Z28" s="46"/>
      <c r="AA28" s="46"/>
    </row>
    <row r="29">
      <c r="B29" s="81">
        <v>10.0</v>
      </c>
      <c r="C29" s="82">
        <f t="shared" ref="C29:H29" si="16">COUNTIF(C4:C27, "=10")</f>
        <v>0</v>
      </c>
      <c r="D29" s="83">
        <f t="shared" si="16"/>
        <v>2</v>
      </c>
      <c r="E29" s="82">
        <f t="shared" si="16"/>
        <v>0</v>
      </c>
      <c r="F29" s="83">
        <f t="shared" si="16"/>
        <v>0</v>
      </c>
      <c r="G29" s="82">
        <f t="shared" si="16"/>
        <v>0</v>
      </c>
      <c r="H29" s="83">
        <f t="shared" si="16"/>
        <v>0</v>
      </c>
      <c r="I29" s="84"/>
      <c r="J29" s="25"/>
      <c r="K29" s="85"/>
      <c r="L29" s="86">
        <v>10.0</v>
      </c>
      <c r="M29" s="87">
        <f t="shared" ref="M29:R29" si="17">COUNTIF(M4:M27, "=10")</f>
        <v>5</v>
      </c>
      <c r="N29" s="88">
        <f t="shared" si="17"/>
        <v>1</v>
      </c>
      <c r="O29" s="87">
        <f t="shared" si="17"/>
        <v>1</v>
      </c>
      <c r="P29" s="88">
        <f t="shared" si="17"/>
        <v>0</v>
      </c>
      <c r="Q29" s="87">
        <f t="shared" si="17"/>
        <v>0</v>
      </c>
      <c r="R29" s="88">
        <f t="shared" si="17"/>
        <v>0</v>
      </c>
      <c r="S29" s="84"/>
      <c r="T29" s="25"/>
      <c r="U29" s="85"/>
      <c r="V29" s="57" t="b">
        <f>IFERROR(IF(V21, AND(FIND(UPPER(H3), UPPER(V19)) &gt; 0, NOT(EQ(H3,""))), AND(FIND(UPPER(R3), UPPER(V19)) &gt; 0, NOT(EQ(R3,"")))), FALSE)</f>
        <v>0</v>
      </c>
      <c r="W29" s="57" t="b">
        <f>IFERROR(IF(W21, AND(FIND(UPPER(C3), UPPER(W19)) &gt; 0, NOT(EQ(C3,""))), AND(FIND(UPPER(M3), UPPER(W19)) &gt; 0, NOT(EQ(M3,"")))), FALSE)</f>
        <v>0</v>
      </c>
      <c r="X29" s="57" t="b">
        <f>IFERROR(IF(X21, AND(FIND(UPPER(H3), UPPER(X19)) &gt; 0, NOT(EQ(H3,""))), AND(FIND(UPPER(R3), UPPER(X19)) &gt; 0, NOT(EQ(R3,"")))), FALSE)</f>
        <v>0</v>
      </c>
      <c r="Y29" s="57" t="b">
        <f>IFERROR(IF(Y21, AND(FIND(UPPER(H3), UPPER(Y19)) &gt; 0, NOT(EQ(H3,""))), AND(FIND(UPPER(R3), UPPER(Y19)) &gt; 0, NOT(EQ(R3,"")))), FALSE)</f>
        <v>0</v>
      </c>
      <c r="Z29" s="46"/>
      <c r="AA29" s="46"/>
    </row>
    <row r="30">
      <c r="B30" s="81">
        <v>-5.0</v>
      </c>
      <c r="C30" s="89">
        <f t="shared" ref="C30:H30" si="18">COUNTIF(C4:C27, "=-5")</f>
        <v>0</v>
      </c>
      <c r="D30" s="90">
        <f t="shared" si="18"/>
        <v>0</v>
      </c>
      <c r="E30" s="89">
        <f t="shared" si="18"/>
        <v>0</v>
      </c>
      <c r="F30" s="90">
        <f t="shared" si="18"/>
        <v>0</v>
      </c>
      <c r="G30" s="89">
        <f t="shared" si="18"/>
        <v>0</v>
      </c>
      <c r="H30" s="90">
        <f t="shared" si="18"/>
        <v>0</v>
      </c>
      <c r="I30" s="91">
        <f>sum(I4:I23)</f>
        <v>90</v>
      </c>
      <c r="J30" s="25"/>
      <c r="K30" s="92">
        <f>IFERROR(I30/SUM(C28:G29), 0)</f>
        <v>18</v>
      </c>
      <c r="L30" s="86">
        <v>-5.0</v>
      </c>
      <c r="M30" s="93">
        <f t="shared" ref="M30:R30" si="19">COUNTIF(M4:M27, "=-5")</f>
        <v>3</v>
      </c>
      <c r="N30" s="94">
        <f t="shared" si="19"/>
        <v>0</v>
      </c>
      <c r="O30" s="93">
        <f t="shared" si="19"/>
        <v>0</v>
      </c>
      <c r="P30" s="94">
        <f t="shared" si="19"/>
        <v>1</v>
      </c>
      <c r="Q30" s="93">
        <f t="shared" si="19"/>
        <v>0</v>
      </c>
      <c r="R30" s="94">
        <f t="shared" si="19"/>
        <v>0</v>
      </c>
      <c r="S30" s="95">
        <f>sum(S4:S23)</f>
        <v>260</v>
      </c>
      <c r="T30" s="25"/>
      <c r="U30" s="96">
        <f>IFERROR(S30/SUM(M28:Q29), 0)</f>
        <v>21.66666667</v>
      </c>
      <c r="V30" s="57" t="b">
        <f t="shared" ref="V30:W30" si="20">AND(IF(AND(COUNTIF(V24:V29, TRUE)=2, IFERROR(FIND("-", V19) &gt; 0, TRUE)), TRUE, IF(AND(COUNTIF(V24:V29, TRUE)=1, IFERROR(FIND("-", V19) &gt; 0, FALSE)), TRUE, FALSE)),V23)</f>
        <v>0</v>
      </c>
      <c r="W30" s="57" t="b">
        <f t="shared" si="20"/>
        <v>0</v>
      </c>
      <c r="X30" s="57" t="b">
        <f>AND(IF(AND(COUNTIF(X24:X29, TRUE)= 2, IFERROR(FIND("-", X19) &gt; 0, TRUE)), TRUE, IF(AND(COUNTIF(X24:X29,TRUE)=1, IFERROR(FIND("-", X19) &gt; 0, FALSE)), TRUE, FALSE)),X23)</f>
        <v>0</v>
      </c>
      <c r="Y30" s="57" t="b">
        <f>AND(IF(AND(COUNTIF(Y24:Y29, TRUE)=2, IFERROR(FIND("-", Y19) &gt; 0, TRUE)), TRUE, IF(AND(COUNTIF(Y24:Y29, TRUE)=1, IFERROR(FIND("-", Y19) &gt; 0, FALSE)), TRUE, FALSE)),Y23)</f>
        <v>0</v>
      </c>
      <c r="Z30" s="46"/>
      <c r="AA30" s="46"/>
    </row>
    <row r="31">
      <c r="B31" s="97" t="s">
        <v>63</v>
      </c>
      <c r="C31" s="98">
        <f t="shared" ref="C31:H31" si="21">(C28*15)+(C29*10)+(C30*-5)</f>
        <v>15</v>
      </c>
      <c r="D31" s="99">
        <f t="shared" si="21"/>
        <v>35</v>
      </c>
      <c r="E31" s="98">
        <f t="shared" si="21"/>
        <v>0</v>
      </c>
      <c r="F31" s="99">
        <f t="shared" si="21"/>
        <v>15</v>
      </c>
      <c r="G31" s="98">
        <f t="shared" si="21"/>
        <v>0</v>
      </c>
      <c r="H31" s="99">
        <f t="shared" si="21"/>
        <v>0</v>
      </c>
      <c r="I31" s="100"/>
      <c r="J31" s="69"/>
      <c r="K31" s="101"/>
      <c r="L31" s="102" t="s">
        <v>63</v>
      </c>
      <c r="M31" s="103">
        <f t="shared" ref="M31:R31" si="22">(M28*15)+(M29*10)+(M30*-5)</f>
        <v>95</v>
      </c>
      <c r="N31" s="99">
        <f t="shared" si="22"/>
        <v>10</v>
      </c>
      <c r="O31" s="103">
        <f t="shared" si="22"/>
        <v>10</v>
      </c>
      <c r="P31" s="99">
        <f t="shared" si="22"/>
        <v>10</v>
      </c>
      <c r="Q31" s="103">
        <f t="shared" si="22"/>
        <v>0</v>
      </c>
      <c r="R31" s="99">
        <f t="shared" si="22"/>
        <v>0</v>
      </c>
      <c r="S31" s="100"/>
      <c r="T31" s="69"/>
      <c r="U31" s="101"/>
      <c r="V31" s="40" t="b">
        <f t="shared" ref="V31:Y31" si="23">OR(AND(V30, OR(V21,V22)),V20)</f>
        <v>1</v>
      </c>
      <c r="W31" s="40" t="b">
        <f t="shared" si="23"/>
        <v>1</v>
      </c>
      <c r="X31" s="40" t="b">
        <f t="shared" si="23"/>
        <v>1</v>
      </c>
      <c r="Y31" s="40" t="b">
        <f t="shared" si="23"/>
        <v>1</v>
      </c>
      <c r="Z31" s="46"/>
      <c r="AA31" s="46"/>
    </row>
    <row r="32">
      <c r="B32" s="104">
        <f>K27</f>
        <v>155</v>
      </c>
      <c r="I32" s="25"/>
      <c r="J32" s="105" t="s">
        <v>64</v>
      </c>
      <c r="K32" s="106"/>
      <c r="L32" s="106"/>
      <c r="M32" s="74"/>
      <c r="N32" s="107">
        <f>U27</f>
        <v>385</v>
      </c>
      <c r="O32" s="106"/>
      <c r="P32" s="106"/>
      <c r="Q32" s="106"/>
      <c r="R32" s="106"/>
      <c r="S32" s="106"/>
      <c r="T32" s="106"/>
      <c r="U32" s="74"/>
      <c r="V32" s="40" t="b">
        <f>AND(V31:Y31)</f>
        <v>1</v>
      </c>
      <c r="W32" s="40"/>
      <c r="X32" s="40"/>
      <c r="Y32" s="40"/>
      <c r="Z32" s="46"/>
      <c r="AA32" s="46"/>
    </row>
    <row r="33">
      <c r="B33" s="84"/>
      <c r="I33" s="25"/>
      <c r="J33" s="84"/>
      <c r="M33" s="25"/>
      <c r="N33" s="84"/>
      <c r="U33" s="25"/>
      <c r="V33" s="40"/>
      <c r="W33" s="40"/>
      <c r="X33" s="40"/>
      <c r="Y33" s="40"/>
      <c r="Z33" s="46"/>
      <c r="AA33" s="46"/>
    </row>
    <row r="34">
      <c r="B34" s="100"/>
      <c r="C34" s="109"/>
      <c r="D34" s="109"/>
      <c r="E34" s="109"/>
      <c r="F34" s="109"/>
      <c r="G34" s="109"/>
      <c r="H34" s="109"/>
      <c r="I34" s="69"/>
      <c r="J34" s="100"/>
      <c r="K34" s="109"/>
      <c r="L34" s="109"/>
      <c r="M34" s="69"/>
      <c r="N34" s="100"/>
      <c r="O34" s="109"/>
      <c r="P34" s="109"/>
      <c r="Q34" s="109"/>
      <c r="R34" s="109"/>
      <c r="S34" s="109"/>
      <c r="T34" s="109"/>
      <c r="U34" s="69"/>
      <c r="V34" s="46"/>
      <c r="W34" s="46"/>
      <c r="X34" s="46"/>
      <c r="Y34" s="46"/>
      <c r="Z34" s="46"/>
      <c r="AA34" s="46"/>
    </row>
    <row r="35">
      <c r="V35" s="46"/>
      <c r="W35" s="46"/>
      <c r="X35" s="46"/>
      <c r="Y35" s="46"/>
      <c r="Z35" s="46"/>
      <c r="AA35" s="40"/>
    </row>
    <row r="36">
      <c r="V36" s="46"/>
      <c r="W36" s="46"/>
      <c r="X36" s="46"/>
      <c r="Y36" s="46"/>
      <c r="Z36" s="46"/>
      <c r="AA36" s="40"/>
    </row>
    <row r="37">
      <c r="C37" s="111" t="s">
        <v>68</v>
      </c>
      <c r="V37" s="46"/>
      <c r="W37" s="46"/>
      <c r="X37" s="46"/>
      <c r="Y37" s="46"/>
      <c r="Z37" s="46"/>
      <c r="AA37" s="40"/>
    </row>
    <row r="38">
      <c r="D38" s="111"/>
      <c r="E38" s="111"/>
      <c r="F38" s="111"/>
      <c r="G38" s="111"/>
      <c r="H38" s="111"/>
      <c r="I38" s="111"/>
      <c r="J38" s="111"/>
      <c r="K38" s="111"/>
      <c r="L38" s="111"/>
      <c r="M38" s="111"/>
      <c r="N38" s="111"/>
      <c r="O38" s="111"/>
      <c r="P38" s="111"/>
      <c r="Q38" s="111"/>
      <c r="R38" s="111"/>
      <c r="S38" s="111"/>
      <c r="T38" s="111"/>
      <c r="V38" s="46"/>
      <c r="W38" s="46"/>
      <c r="X38" s="46"/>
      <c r="Y38" s="46"/>
      <c r="Z38" s="46"/>
      <c r="AA38" s="40"/>
    </row>
    <row r="39">
      <c r="C39" s="111"/>
      <c r="D39" s="111"/>
      <c r="E39" s="111"/>
      <c r="F39" s="111"/>
      <c r="G39" s="111"/>
      <c r="H39" s="111"/>
      <c r="I39" s="111"/>
      <c r="J39" s="111"/>
      <c r="K39" s="111"/>
      <c r="L39" s="111"/>
      <c r="M39" s="111"/>
      <c r="N39" s="111"/>
      <c r="O39" s="111"/>
      <c r="P39" s="111"/>
      <c r="Q39" s="111"/>
      <c r="R39" s="111"/>
      <c r="S39" s="111"/>
      <c r="T39" s="111"/>
      <c r="V39" s="46"/>
      <c r="W39" s="46"/>
      <c r="X39" s="46"/>
      <c r="Y39" s="46"/>
      <c r="Z39" s="46"/>
      <c r="AA39" s="40"/>
    </row>
    <row r="40">
      <c r="C40" s="111"/>
      <c r="D40" s="111"/>
      <c r="E40" s="111"/>
      <c r="F40" s="111"/>
      <c r="G40" s="111"/>
      <c r="H40" s="111"/>
      <c r="I40" s="111"/>
      <c r="J40" s="111"/>
      <c r="K40" s="111"/>
      <c r="L40" s="111"/>
      <c r="M40" s="111"/>
      <c r="N40" s="111"/>
      <c r="O40" s="111"/>
      <c r="P40" s="111"/>
      <c r="Q40" s="111"/>
      <c r="R40" s="111"/>
      <c r="S40" s="111"/>
      <c r="T40" s="111"/>
      <c r="V40" s="46"/>
      <c r="W40" s="46"/>
      <c r="X40" s="46"/>
      <c r="Y40" s="112"/>
      <c r="Z40" s="112"/>
      <c r="AA40" s="40"/>
    </row>
    <row r="41">
      <c r="C41" s="111"/>
      <c r="D41" s="111"/>
      <c r="E41" s="111"/>
      <c r="F41" s="111"/>
      <c r="G41" s="111"/>
      <c r="H41" s="111"/>
      <c r="I41" s="111"/>
      <c r="J41" s="111"/>
      <c r="K41" s="111"/>
      <c r="L41" s="111"/>
      <c r="M41" s="111"/>
      <c r="N41" s="111"/>
      <c r="O41" s="111"/>
      <c r="P41" s="111"/>
      <c r="Q41" s="111"/>
      <c r="R41" s="111"/>
      <c r="S41" s="111"/>
      <c r="T41" s="111"/>
      <c r="V41" s="46"/>
      <c r="W41" s="46"/>
      <c r="X41" s="46"/>
      <c r="Y41" s="46"/>
      <c r="Z41" s="46"/>
      <c r="AA41" s="40"/>
    </row>
    <row r="42">
      <c r="C42" s="111"/>
      <c r="D42" s="111"/>
      <c r="E42" s="111"/>
      <c r="F42" s="111"/>
      <c r="G42" s="111"/>
      <c r="H42" s="111"/>
      <c r="I42" s="111"/>
      <c r="J42" s="111"/>
      <c r="K42" s="111"/>
      <c r="L42" s="111"/>
      <c r="M42" s="111"/>
      <c r="N42" s="111"/>
      <c r="O42" s="111"/>
      <c r="P42" s="111"/>
      <c r="Q42" s="111"/>
      <c r="R42" s="111"/>
      <c r="S42" s="111"/>
      <c r="T42" s="111"/>
      <c r="V42" s="46"/>
      <c r="W42" s="46"/>
      <c r="X42" s="46"/>
      <c r="Y42" s="46"/>
      <c r="Z42" s="46"/>
      <c r="AA42" s="40"/>
    </row>
    <row r="43">
      <c r="C43" s="111"/>
      <c r="D43" s="111"/>
      <c r="E43" s="111"/>
      <c r="F43" s="111"/>
      <c r="G43" s="111"/>
      <c r="H43" s="111"/>
      <c r="I43" s="111"/>
      <c r="J43" s="111"/>
      <c r="K43" s="111"/>
      <c r="L43" s="111"/>
      <c r="M43" s="111"/>
      <c r="N43" s="111"/>
      <c r="O43" s="111"/>
      <c r="P43" s="111"/>
      <c r="Q43" s="111"/>
      <c r="R43" s="111"/>
      <c r="S43" s="111"/>
      <c r="T43" s="111"/>
      <c r="V43" s="46"/>
      <c r="W43" s="46"/>
      <c r="X43" s="46"/>
      <c r="Y43" s="46"/>
      <c r="Z43" s="46"/>
      <c r="AA43" s="40"/>
    </row>
    <row r="44">
      <c r="C44" s="113"/>
      <c r="F44" s="113"/>
      <c r="G44" s="113"/>
      <c r="V44" s="114"/>
      <c r="W44" s="46"/>
      <c r="X44" s="46"/>
      <c r="Y44" s="46"/>
      <c r="Z44" s="46"/>
      <c r="AA44" s="40"/>
    </row>
    <row r="45">
      <c r="C45" s="113"/>
      <c r="F45" s="113"/>
      <c r="G45" s="113"/>
      <c r="V45" s="40"/>
      <c r="W45" s="40"/>
      <c r="X45" s="40"/>
      <c r="Y45" s="40"/>
      <c r="Z45" s="40"/>
      <c r="AA45" s="40"/>
    </row>
    <row r="46">
      <c r="C46" s="115" t="s">
        <v>66</v>
      </c>
      <c r="F46" s="113"/>
      <c r="G46" s="113"/>
      <c r="V46" s="40"/>
      <c r="W46" s="40"/>
      <c r="X46" s="40"/>
      <c r="Y46" s="40"/>
      <c r="Z46" s="40"/>
      <c r="AA46" s="40"/>
    </row>
    <row r="47">
      <c r="C47" s="116"/>
      <c r="V47" s="40"/>
      <c r="W47" s="40"/>
      <c r="X47" s="40"/>
      <c r="Y47" s="40"/>
      <c r="Z47" s="40"/>
      <c r="AA47" s="40"/>
    </row>
    <row r="48">
      <c r="V48" s="40"/>
      <c r="W48" s="40"/>
      <c r="X48" s="40"/>
      <c r="Y48" s="40"/>
      <c r="Z48" s="40"/>
      <c r="AA48" s="40"/>
    </row>
    <row r="49">
      <c r="V49" s="40"/>
      <c r="W49" s="40"/>
      <c r="X49" s="40"/>
      <c r="Y49" s="40"/>
      <c r="Z49" s="40"/>
      <c r="AA49" s="40"/>
    </row>
    <row r="50">
      <c r="V50" s="40"/>
      <c r="W50" s="40"/>
      <c r="X50" s="40"/>
      <c r="Y50" s="40"/>
      <c r="Z50" s="40"/>
      <c r="AA50" s="40"/>
    </row>
    <row r="51">
      <c r="V51" s="40"/>
      <c r="W51" s="40"/>
      <c r="X51" s="40"/>
      <c r="Y51" s="40"/>
      <c r="Z51" s="40"/>
      <c r="AA51" s="40"/>
    </row>
    <row r="52">
      <c r="V52" s="40"/>
      <c r="W52" s="40"/>
      <c r="X52" s="40"/>
      <c r="Y52" s="40"/>
      <c r="Z52" s="40"/>
      <c r="AA52" s="40"/>
    </row>
    <row r="53">
      <c r="C53" s="113"/>
      <c r="F53" s="113"/>
      <c r="G53" s="113"/>
      <c r="V53" s="40"/>
      <c r="W53" s="40"/>
      <c r="X53" s="40"/>
      <c r="Y53" s="40"/>
      <c r="Z53" s="40"/>
      <c r="AA53" s="40"/>
    </row>
    <row r="54">
      <c r="C54" s="113"/>
      <c r="F54" s="113"/>
      <c r="G54" s="113"/>
      <c r="V54" s="40"/>
      <c r="W54" s="40"/>
      <c r="X54" s="40"/>
      <c r="Y54" s="40"/>
      <c r="Z54" s="40"/>
      <c r="AA54" s="40"/>
    </row>
  </sheetData>
  <mergeCells count="17">
    <mergeCell ref="I28:J29"/>
    <mergeCell ref="K28:K29"/>
    <mergeCell ref="L24:L27"/>
    <mergeCell ref="C2:K2"/>
    <mergeCell ref="M2:U2"/>
    <mergeCell ref="G1:Q1"/>
    <mergeCell ref="L2:L3"/>
    <mergeCell ref="I30:J31"/>
    <mergeCell ref="K30:K31"/>
    <mergeCell ref="S28:T29"/>
    <mergeCell ref="U28:U29"/>
    <mergeCell ref="U30:U31"/>
    <mergeCell ref="C47:T52"/>
    <mergeCell ref="J32:M34"/>
    <mergeCell ref="N32:U34"/>
    <mergeCell ref="B32:I34"/>
    <mergeCell ref="S30:T31"/>
  </mergeCells>
  <conditionalFormatting sqref="C4:U23">
    <cfRule type="expression" dxfId="0" priority="1">
      <formula>$I:$I&lt;&gt;""</formula>
    </cfRule>
  </conditionalFormatting>
  <conditionalFormatting sqref="C4:U23">
    <cfRule type="expression" dxfId="0" priority="2">
      <formula>$S:$S&lt;&gt;""</formula>
    </cfRule>
  </conditionalFormatting>
  <conditionalFormatting sqref="A1">
    <cfRule type="notContainsBlanks" dxfId="1" priority="3">
      <formula>LEN(TRIM(A1))&gt;0</formula>
    </cfRule>
  </conditionalFormatting>
  <conditionalFormatting sqref="X12">
    <cfRule type="notContainsBlanks" dxfId="1" priority="4">
      <formula>LEN(TRIM(X12))&gt;0</formula>
    </cfRule>
  </conditionalFormatting>
  <conditionalFormatting sqref="C38:T43">
    <cfRule type="expression" dxfId="2" priority="5">
      <formula>NOT(V32)</formula>
    </cfRule>
  </conditionalFormatting>
  <dataValidations>
    <dataValidation type="list" allowBlank="1" showErrorMessage="1" sqref="M3:R3">
      <formula1>'ROUND 1'!$X$5:$X$11</formula1>
    </dataValidation>
    <dataValidation type="list" allowBlank="1" showErrorMessage="1" sqref="I4:I23 S4:S23">
      <formula1>"0,10,20,30"</formula1>
    </dataValidation>
    <dataValidation type="list" allowBlank="1" showErrorMessage="1" sqref="C4:H27 M4:R27">
      <formula1>"-5,10,15"</formula1>
    </dataValidation>
    <dataValidation type="list" allowBlank="1" showErrorMessage="1" sqref="C3:H3">
      <formula1>'ROUND 1'!$W$5:$W$11</formula1>
    </dataValidation>
    <dataValidation type="list" allowBlank="1" showErrorMessage="1" sqref="C2 M2">
      <formula1>INSTRUCTIONS!$A$28:$AJ$28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1" max="1" width="1.29"/>
    <col customWidth="1" min="2" max="2" width="5.0"/>
    <col customWidth="1" min="3" max="7" width="8.71"/>
    <col customWidth="1" min="8" max="8" width="8.43"/>
    <col customWidth="1" min="9" max="9" width="9.14"/>
    <col customWidth="1" min="10" max="10" width="8.29"/>
    <col customWidth="1" min="11" max="11" width="8.0"/>
    <col customWidth="1" min="12" max="12" width="8.86"/>
    <col customWidth="1" min="13" max="13" width="8.71"/>
    <col customWidth="1" min="14" max="14" width="8.43"/>
    <col customWidth="1" min="15" max="18" width="8.71"/>
    <col customWidth="1" min="19" max="19" width="8.86"/>
    <col customWidth="1" min="20" max="20" width="8.0"/>
    <col customWidth="1" min="21" max="21" width="8.43"/>
    <col customWidth="1" min="22" max="22" width="21.57"/>
  </cols>
  <sheetData>
    <row r="1" ht="18.75" customHeight="1">
      <c r="C1" s="2"/>
      <c r="D1" s="2"/>
      <c r="E1" s="2"/>
      <c r="F1" s="2"/>
      <c r="G1" s="5" t="s">
        <v>2</v>
      </c>
      <c r="R1" s="2"/>
      <c r="S1" s="2"/>
      <c r="T1" s="2"/>
      <c r="U1" s="2"/>
      <c r="V1" s="7"/>
      <c r="W1" s="7"/>
      <c r="X1" s="7"/>
      <c r="Y1" s="7"/>
      <c r="Z1" s="7"/>
    </row>
    <row r="2" ht="18.75" customHeight="1">
      <c r="C2" s="9" t="s">
        <v>12</v>
      </c>
      <c r="D2" s="11"/>
      <c r="E2" s="11"/>
      <c r="F2" s="11"/>
      <c r="G2" s="11"/>
      <c r="H2" s="11"/>
      <c r="I2" s="11"/>
      <c r="J2" s="11"/>
      <c r="K2" s="12"/>
      <c r="L2" s="15" t="s">
        <v>9</v>
      </c>
      <c r="M2" s="17" t="s">
        <v>14</v>
      </c>
      <c r="N2" s="11"/>
      <c r="O2" s="11"/>
      <c r="P2" s="11"/>
      <c r="Q2" s="11"/>
      <c r="R2" s="11"/>
      <c r="S2" s="11"/>
      <c r="T2" s="11"/>
      <c r="U2" s="12"/>
      <c r="V2" s="7"/>
      <c r="W2" s="7"/>
      <c r="X2" s="7"/>
      <c r="Y2" s="7"/>
      <c r="Z2" s="7"/>
    </row>
    <row r="3">
      <c r="C3" s="18" t="s">
        <v>16</v>
      </c>
      <c r="D3" s="20" t="s">
        <v>18</v>
      </c>
      <c r="E3" s="22" t="s">
        <v>20</v>
      </c>
      <c r="F3" s="20" t="s">
        <v>22</v>
      </c>
      <c r="G3" s="22" t="s">
        <v>23</v>
      </c>
      <c r="H3" s="20"/>
      <c r="I3" s="23" t="s">
        <v>24</v>
      </c>
      <c r="J3" s="24" t="s">
        <v>27</v>
      </c>
      <c r="K3" s="23" t="s">
        <v>29</v>
      </c>
      <c r="L3" s="25"/>
      <c r="M3" s="26" t="s">
        <v>30</v>
      </c>
      <c r="N3" s="28" t="s">
        <v>31</v>
      </c>
      <c r="O3" s="26" t="s">
        <v>33</v>
      </c>
      <c r="P3" s="28" t="s">
        <v>34</v>
      </c>
      <c r="Q3" s="26"/>
      <c r="R3" s="30"/>
      <c r="S3" s="23" t="s">
        <v>24</v>
      </c>
      <c r="T3" s="24" t="s">
        <v>27</v>
      </c>
      <c r="U3" s="23" t="s">
        <v>29</v>
      </c>
      <c r="V3" s="7"/>
      <c r="W3" s="7"/>
      <c r="X3" s="7"/>
      <c r="Y3" s="7"/>
      <c r="Z3" s="7"/>
    </row>
    <row r="4">
      <c r="C4" s="31"/>
      <c r="D4" s="32"/>
      <c r="E4" s="32"/>
      <c r="F4" s="32"/>
      <c r="G4" s="32"/>
      <c r="H4" s="32"/>
      <c r="I4" s="32"/>
      <c r="J4" s="37">
        <f t="shared" ref="J4:J23" si="1">IF(AND(COUNTA(C4:H4)=0,I4&gt;0), "BON.ERR", IF(COUNTA(C4:H4)&lt;=1, IF(AND(OR(C4&lt;0, D4&lt;0, E4&lt;0, F4&lt;0, G4&lt;0, H4&lt;0), I4&gt;0), "BON.ERR", SUM(C4:I4)), "TEAM.ERR"))</f>
        <v>0</v>
      </c>
      <c r="K4" s="38">
        <f>if(sum(sum(C4:H4), M4:R4)&lt;-6, "NEG.ERR", if(and(sum(C4:I4)&gt;0, sum(M4:S4)&gt;0), "ERROR", sum(J4)))</f>
        <v>0</v>
      </c>
      <c r="L4" s="39">
        <v>1.0</v>
      </c>
      <c r="M4" s="37">
        <v>15.0</v>
      </c>
      <c r="N4" s="32"/>
      <c r="O4" s="32"/>
      <c r="P4" s="32"/>
      <c r="Q4" s="32"/>
      <c r="R4" s="32"/>
      <c r="S4" s="37">
        <v>30.0</v>
      </c>
      <c r="T4" s="37">
        <f t="shared" ref="T4:T23" si="2">IF(AND(COUNTA(M4:R4)=0,S4&gt;0), "BON.ERR", IF(COUNTA(M4:R4)&lt;=1, IF(AND(OR(M4&lt;0, N4&lt;0, O4&lt;0, P4&lt;0, Q4&lt;0, R4&lt;0), S4&gt;0), "BON.ERR", SUM(M4:S4)), "TEAM.ERR"))</f>
        <v>45</v>
      </c>
      <c r="U4" s="38">
        <f>if(sum(sum(C4:H4), M4:R4)&lt;-6, "NEG.ERR", if(and(sum(C4:H4)&gt;0, sum(M4:R4)&gt;0), "ERROR", sum(T4)))</f>
        <v>45</v>
      </c>
      <c r="V4" s="40"/>
      <c r="W4" s="41" t="str">
        <f>IFERROR(__xludf.DUMMYFUNCTION("filter(INSTRUCTIONS!A28:AJ39, INSTRUCTIONS!A28:AJ28=C2)"),"LONGFELLOW B")</f>
        <v>LONGFELLOW B</v>
      </c>
      <c r="X4" s="41" t="str">
        <f>IFERROR(__xludf.DUMMYFUNCTION("filter(INSTRUCTIONS!A28:AJ39, INSTRUCTIONS!A28:AJ28=M2)"),"BURLEIGH MANOR A")</f>
        <v>BURLEIGH MANOR A</v>
      </c>
      <c r="Y4" s="41"/>
      <c r="Z4" s="40"/>
      <c r="AA4" s="40"/>
    </row>
    <row r="5">
      <c r="C5" s="31"/>
      <c r="D5" s="32"/>
      <c r="E5" s="32"/>
      <c r="F5" s="32"/>
      <c r="G5" s="32"/>
      <c r="H5" s="32"/>
      <c r="I5" s="32"/>
      <c r="J5" s="37">
        <f t="shared" si="1"/>
        <v>0</v>
      </c>
      <c r="K5" s="38">
        <f t="shared" ref="K5:K27" si="3">if(sum(sum(C5:H5), M5:R5)&lt;-6, "NEG.ERR", if(and(sum(C5:I5)&gt;0, sum(M5:S5)&gt;0), "ERROR", sum(J5,K4)))</f>
        <v>0</v>
      </c>
      <c r="L5" s="39">
        <v>2.0</v>
      </c>
      <c r="M5" s="32"/>
      <c r="N5" s="37">
        <v>10.0</v>
      </c>
      <c r="O5" s="32"/>
      <c r="P5" s="32"/>
      <c r="Q5" s="42"/>
      <c r="R5" s="42"/>
      <c r="S5" s="37">
        <v>20.0</v>
      </c>
      <c r="T5" s="37">
        <f t="shared" si="2"/>
        <v>30</v>
      </c>
      <c r="U5" s="38">
        <f t="shared" ref="U5:U27" si="4">if(sum(sum(C5:H5), M5:R5)&lt;-6, "NEG.ERR", if(and(sum(C5:H5)&gt;0, sum(M5:R5)&gt;0), "ERROR", sum(T5,U4)))</f>
        <v>75</v>
      </c>
      <c r="V5" s="40"/>
      <c r="W5" s="41" t="str">
        <f>IFERROR(__xludf.DUMMYFUNCTION("""COMPUTED_VALUE"""),"Andrew Evans")</f>
        <v>Andrew Evans</v>
      </c>
      <c r="X5" s="41" t="str">
        <f>IFERROR(__xludf.DUMMYFUNCTION("""COMPUTED_VALUE"""),"James Bombick")</f>
        <v>James Bombick</v>
      </c>
      <c r="Y5" s="41"/>
      <c r="Z5" s="40"/>
      <c r="AA5" s="40"/>
    </row>
    <row r="6">
      <c r="C6" s="43">
        <v>-5.0</v>
      </c>
      <c r="D6" s="42"/>
      <c r="E6" s="42"/>
      <c r="F6" s="32"/>
      <c r="G6" s="42"/>
      <c r="H6" s="42"/>
      <c r="I6" s="32"/>
      <c r="J6" s="37">
        <f t="shared" si="1"/>
        <v>-5</v>
      </c>
      <c r="K6" s="38">
        <f t="shared" si="3"/>
        <v>-5</v>
      </c>
      <c r="L6" s="39">
        <v>3.0</v>
      </c>
      <c r="M6" s="42"/>
      <c r="N6" s="38">
        <v>10.0</v>
      </c>
      <c r="O6" s="32"/>
      <c r="P6" s="32"/>
      <c r="Q6" s="32"/>
      <c r="R6" s="42"/>
      <c r="S6" s="37">
        <v>30.0</v>
      </c>
      <c r="T6" s="37">
        <f t="shared" si="2"/>
        <v>40</v>
      </c>
      <c r="U6" s="38">
        <f t="shared" si="4"/>
        <v>115</v>
      </c>
      <c r="V6" s="40"/>
      <c r="W6" s="41" t="str">
        <f>IFERROR(__xludf.DUMMYFUNCTION("""COMPUTED_VALUE"""),"Tim Johanson")</f>
        <v>Tim Johanson</v>
      </c>
      <c r="X6" s="41" t="str">
        <f>IFERROR(__xludf.DUMMYFUNCTION("""COMPUTED_VALUE"""),"Hannah Fang")</f>
        <v>Hannah Fang</v>
      </c>
      <c r="Y6" s="41"/>
      <c r="Z6" s="40"/>
      <c r="AA6" s="40"/>
    </row>
    <row r="7">
      <c r="C7" s="31"/>
      <c r="D7" s="38">
        <v>10.0</v>
      </c>
      <c r="E7" s="42"/>
      <c r="F7" s="42"/>
      <c r="G7" s="42"/>
      <c r="H7" s="32"/>
      <c r="I7" s="37">
        <v>10.0</v>
      </c>
      <c r="J7" s="37">
        <f t="shared" si="1"/>
        <v>20</v>
      </c>
      <c r="K7" s="38">
        <f t="shared" si="3"/>
        <v>15</v>
      </c>
      <c r="L7" s="39">
        <v>4.0</v>
      </c>
      <c r="M7" s="42"/>
      <c r="N7" s="42"/>
      <c r="O7" s="42"/>
      <c r="P7" s="42"/>
      <c r="Q7" s="42"/>
      <c r="R7" s="42"/>
      <c r="S7" s="42"/>
      <c r="T7" s="37">
        <f t="shared" si="2"/>
        <v>0</v>
      </c>
      <c r="U7" s="38">
        <f t="shared" si="4"/>
        <v>115</v>
      </c>
      <c r="V7" s="40"/>
      <c r="W7" s="41" t="str">
        <f>IFERROR(__xludf.DUMMYFUNCTION("""COMPUTED_VALUE"""),"Connor McKenzie")</f>
        <v>Connor McKenzie</v>
      </c>
      <c r="X7" s="41" t="str">
        <f>IFERROR(__xludf.DUMMYFUNCTION("""COMPUTED_VALUE"""),"Anurag Sodhi")</f>
        <v>Anurag Sodhi</v>
      </c>
      <c r="Y7" s="41"/>
      <c r="Z7" s="40"/>
      <c r="AA7" s="40"/>
    </row>
    <row r="8">
      <c r="C8" s="31"/>
      <c r="D8" s="32"/>
      <c r="E8" s="32"/>
      <c r="F8" s="32"/>
      <c r="G8" s="42"/>
      <c r="H8" s="42"/>
      <c r="I8" s="32"/>
      <c r="J8" s="37">
        <f t="shared" si="1"/>
        <v>0</v>
      </c>
      <c r="K8" s="38">
        <f t="shared" si="3"/>
        <v>15</v>
      </c>
      <c r="L8" s="39">
        <v>5.0</v>
      </c>
      <c r="M8" s="37">
        <v>10.0</v>
      </c>
      <c r="N8" s="42"/>
      <c r="O8" s="42"/>
      <c r="P8" s="42"/>
      <c r="Q8" s="32"/>
      <c r="R8" s="42"/>
      <c r="S8" s="37">
        <v>30.0</v>
      </c>
      <c r="T8" s="37">
        <f t="shared" si="2"/>
        <v>40</v>
      </c>
      <c r="U8" s="38">
        <f t="shared" si="4"/>
        <v>155</v>
      </c>
      <c r="V8" s="40"/>
      <c r="W8" s="41" t="str">
        <f>IFERROR(__xludf.DUMMYFUNCTION("""COMPUTED_VALUE"""),"Keenan Powell")</f>
        <v>Keenan Powell</v>
      </c>
      <c r="X8" s="41" t="str">
        <f>IFERROR(__xludf.DUMMYFUNCTION("""COMPUTED_VALUE"""),"Chris Wu")</f>
        <v>Chris Wu</v>
      </c>
      <c r="Y8" s="41"/>
      <c r="Z8" s="40"/>
      <c r="AA8" s="40"/>
    </row>
    <row r="9">
      <c r="C9" s="44"/>
      <c r="D9" s="32"/>
      <c r="E9" s="32"/>
      <c r="F9" s="32"/>
      <c r="G9" s="32"/>
      <c r="H9" s="42"/>
      <c r="I9" s="32"/>
      <c r="J9" s="37">
        <f t="shared" si="1"/>
        <v>0</v>
      </c>
      <c r="K9" s="38">
        <f t="shared" si="3"/>
        <v>15</v>
      </c>
      <c r="L9" s="39">
        <v>6.0</v>
      </c>
      <c r="M9" s="42"/>
      <c r="N9" s="42"/>
      <c r="O9" s="38">
        <v>15.0</v>
      </c>
      <c r="P9" s="32"/>
      <c r="Q9" s="42"/>
      <c r="R9" s="42"/>
      <c r="S9" s="38">
        <v>30.0</v>
      </c>
      <c r="T9" s="37">
        <f t="shared" si="2"/>
        <v>45</v>
      </c>
      <c r="U9" s="38">
        <f t="shared" si="4"/>
        <v>200</v>
      </c>
      <c r="V9" s="40"/>
      <c r="W9" s="41" t="str">
        <f>IFERROR(__xludf.DUMMYFUNCTION("""COMPUTED_VALUE"""),"Benoy Sen")</f>
        <v>Benoy Sen</v>
      </c>
      <c r="X9" s="41" t="str">
        <f>IFERROR(__xludf.DUMMYFUNCTION("""COMPUTED_VALUE"""),"")</f>
        <v/>
      </c>
      <c r="Y9" s="41"/>
      <c r="Z9" s="40"/>
      <c r="AA9" s="40"/>
    </row>
    <row r="10">
      <c r="C10" s="45">
        <v>10.0</v>
      </c>
      <c r="D10" s="32"/>
      <c r="E10" s="42"/>
      <c r="F10" s="32"/>
      <c r="G10" s="42"/>
      <c r="H10" s="42"/>
      <c r="I10" s="37">
        <v>20.0</v>
      </c>
      <c r="J10" s="37">
        <f t="shared" si="1"/>
        <v>30</v>
      </c>
      <c r="K10" s="38">
        <f t="shared" si="3"/>
        <v>45</v>
      </c>
      <c r="L10" s="39">
        <v>7.0</v>
      </c>
      <c r="M10" s="42"/>
      <c r="N10" s="42"/>
      <c r="O10" s="32"/>
      <c r="P10" s="42"/>
      <c r="Q10" s="42"/>
      <c r="R10" s="42"/>
      <c r="S10" s="32"/>
      <c r="T10" s="37">
        <f t="shared" si="2"/>
        <v>0</v>
      </c>
      <c r="U10" s="38">
        <f t="shared" si="4"/>
        <v>200</v>
      </c>
      <c r="V10" s="40"/>
      <c r="W10" s="41" t="str">
        <f>IFERROR(__xludf.DUMMYFUNCTION("""COMPUTED_VALUE"""),"")</f>
        <v/>
      </c>
      <c r="X10" s="41" t="str">
        <f>IFERROR(__xludf.DUMMYFUNCTION("""COMPUTED_VALUE"""),"")</f>
        <v/>
      </c>
      <c r="Y10" s="41"/>
      <c r="Z10" s="40"/>
      <c r="AA10" s="40"/>
    </row>
    <row r="11">
      <c r="C11" s="44"/>
      <c r="D11" s="32"/>
      <c r="E11" s="42"/>
      <c r="F11" s="42"/>
      <c r="G11" s="42"/>
      <c r="H11" s="42"/>
      <c r="I11" s="32"/>
      <c r="J11" s="37">
        <f t="shared" si="1"/>
        <v>0</v>
      </c>
      <c r="K11" s="38">
        <f t="shared" si="3"/>
        <v>45</v>
      </c>
      <c r="L11" s="39">
        <v>8.0</v>
      </c>
      <c r="M11" s="42"/>
      <c r="N11" s="38">
        <v>10.0</v>
      </c>
      <c r="O11" s="42"/>
      <c r="P11" s="42"/>
      <c r="Q11" s="42"/>
      <c r="R11" s="42"/>
      <c r="S11" s="38">
        <v>30.0</v>
      </c>
      <c r="T11" s="37">
        <f t="shared" si="2"/>
        <v>40</v>
      </c>
      <c r="U11" s="38">
        <f t="shared" si="4"/>
        <v>240</v>
      </c>
      <c r="V11" s="40"/>
      <c r="W11" s="41" t="str">
        <f>IFERROR(__xludf.DUMMYFUNCTION("""COMPUTED_VALUE"""),"")</f>
        <v/>
      </c>
      <c r="X11" s="41" t="str">
        <f>IFERROR(__xludf.DUMMYFUNCTION("""COMPUTED_VALUE"""),"")</f>
        <v/>
      </c>
      <c r="Y11" s="41"/>
      <c r="Z11" s="40"/>
      <c r="AA11" s="40"/>
    </row>
    <row r="12">
      <c r="C12" s="44"/>
      <c r="D12" s="32"/>
      <c r="E12" s="42"/>
      <c r="F12" s="42"/>
      <c r="G12" s="42"/>
      <c r="H12" s="42"/>
      <c r="I12" s="32"/>
      <c r="J12" s="37">
        <f t="shared" si="1"/>
        <v>0</v>
      </c>
      <c r="K12" s="38">
        <f t="shared" si="3"/>
        <v>45</v>
      </c>
      <c r="L12" s="39">
        <v>9.0</v>
      </c>
      <c r="M12" s="42"/>
      <c r="N12" s="37">
        <v>10.0</v>
      </c>
      <c r="O12" s="42"/>
      <c r="P12" s="42"/>
      <c r="Q12" s="42"/>
      <c r="R12" s="42"/>
      <c r="S12" s="37">
        <v>20.0</v>
      </c>
      <c r="T12" s="37">
        <f t="shared" si="2"/>
        <v>30</v>
      </c>
      <c r="U12" s="38">
        <f t="shared" si="4"/>
        <v>270</v>
      </c>
      <c r="V12" s="40"/>
      <c r="W12" s="41" t="str">
        <f>IFERROR(__xludf.DUMMYFUNCTION("""COMPUTED_VALUE"""),"")</f>
        <v/>
      </c>
      <c r="X12" s="41" t="str">
        <f>IFERROR(__xludf.DUMMYFUNCTION("""COMPUTED_VALUE"""),"")</f>
        <v/>
      </c>
      <c r="Y12" s="41"/>
      <c r="Z12" s="40"/>
      <c r="AA12" s="40"/>
    </row>
    <row r="13">
      <c r="C13" s="44"/>
      <c r="D13" s="32"/>
      <c r="E13" s="37">
        <v>10.0</v>
      </c>
      <c r="F13" s="42"/>
      <c r="G13" s="42"/>
      <c r="H13" s="42"/>
      <c r="I13" s="37">
        <v>30.0</v>
      </c>
      <c r="J13" s="37">
        <f t="shared" si="1"/>
        <v>40</v>
      </c>
      <c r="K13" s="38">
        <f t="shared" si="3"/>
        <v>85</v>
      </c>
      <c r="L13" s="39">
        <v>10.0</v>
      </c>
      <c r="M13" s="38">
        <v>-5.0</v>
      </c>
      <c r="N13" s="42"/>
      <c r="O13" s="32"/>
      <c r="P13" s="42"/>
      <c r="Q13" s="42"/>
      <c r="R13" s="42"/>
      <c r="S13" s="32"/>
      <c r="T13" s="37">
        <f t="shared" si="2"/>
        <v>-5</v>
      </c>
      <c r="U13" s="38">
        <f t="shared" si="4"/>
        <v>265</v>
      </c>
      <c r="V13" s="40"/>
      <c r="W13" s="40" t="str">
        <f>IFERROR(__xludf.DUMMYFUNCTION("""COMPUTED_VALUE"""),"")</f>
        <v/>
      </c>
      <c r="X13" s="40" t="str">
        <f>IFERROR(__xludf.DUMMYFUNCTION("""COMPUTED_VALUE"""),"")</f>
        <v/>
      </c>
      <c r="Y13" s="40"/>
      <c r="Z13" s="40"/>
      <c r="AA13" s="40"/>
    </row>
    <row r="14">
      <c r="C14" s="31"/>
      <c r="D14" s="32"/>
      <c r="E14" s="42"/>
      <c r="F14" s="42"/>
      <c r="G14" s="42"/>
      <c r="H14" s="42"/>
      <c r="I14" s="32"/>
      <c r="J14" s="37">
        <f t="shared" si="1"/>
        <v>0</v>
      </c>
      <c r="K14" s="38">
        <f t="shared" si="3"/>
        <v>85</v>
      </c>
      <c r="L14" s="39">
        <v>11.0</v>
      </c>
      <c r="M14" s="32"/>
      <c r="N14" s="42"/>
      <c r="O14" s="37">
        <v>15.0</v>
      </c>
      <c r="P14" s="42"/>
      <c r="Q14" s="42"/>
      <c r="R14" s="42"/>
      <c r="S14" s="37">
        <v>10.0</v>
      </c>
      <c r="T14" s="37">
        <f t="shared" si="2"/>
        <v>25</v>
      </c>
      <c r="U14" s="38">
        <f t="shared" si="4"/>
        <v>290</v>
      </c>
      <c r="V14" s="46"/>
      <c r="W14" s="46" t="str">
        <f>IFERROR(__xludf.DUMMYFUNCTION("""COMPUTED_VALUE"""),"")</f>
        <v/>
      </c>
      <c r="X14" s="46" t="str">
        <f>IFERROR(__xludf.DUMMYFUNCTION("""COMPUTED_VALUE"""),"")</f>
        <v/>
      </c>
      <c r="Y14" s="46"/>
      <c r="Z14" s="46"/>
      <c r="AA14" s="46"/>
    </row>
    <row r="15">
      <c r="C15" s="44"/>
      <c r="D15" s="42"/>
      <c r="E15" s="42"/>
      <c r="F15" s="32"/>
      <c r="G15" s="42"/>
      <c r="H15" s="42"/>
      <c r="I15" s="32"/>
      <c r="J15" s="37">
        <f t="shared" si="1"/>
        <v>0</v>
      </c>
      <c r="K15" s="38">
        <f t="shared" si="3"/>
        <v>85</v>
      </c>
      <c r="L15" s="39">
        <v>12.0</v>
      </c>
      <c r="M15" s="42"/>
      <c r="N15" s="37">
        <v>10.0</v>
      </c>
      <c r="O15" s="42"/>
      <c r="P15" s="42"/>
      <c r="Q15" s="42"/>
      <c r="R15" s="42"/>
      <c r="S15" s="38">
        <v>30.0</v>
      </c>
      <c r="T15" s="37">
        <f t="shared" si="2"/>
        <v>40</v>
      </c>
      <c r="U15" s="38">
        <f t="shared" si="4"/>
        <v>330</v>
      </c>
      <c r="V15" s="46"/>
      <c r="W15" s="46" t="str">
        <f>IFERROR(__xludf.DUMMYFUNCTION("""COMPUTED_VALUE"""),"")</f>
        <v/>
      </c>
      <c r="X15" s="46" t="str">
        <f>IFERROR(__xludf.DUMMYFUNCTION("""COMPUTED_VALUE"""),"")</f>
        <v/>
      </c>
      <c r="Y15" s="46"/>
      <c r="Z15" s="46"/>
      <c r="AA15" s="46"/>
    </row>
    <row r="16">
      <c r="C16" s="31"/>
      <c r="D16" s="42"/>
      <c r="E16" s="42"/>
      <c r="F16" s="42"/>
      <c r="G16" s="42"/>
      <c r="H16" s="32"/>
      <c r="I16" s="32"/>
      <c r="J16" s="37">
        <f t="shared" si="1"/>
        <v>0</v>
      </c>
      <c r="K16" s="38">
        <f t="shared" si="3"/>
        <v>85</v>
      </c>
      <c r="L16" s="39">
        <v>13.0</v>
      </c>
      <c r="M16" s="37">
        <v>10.0</v>
      </c>
      <c r="N16" s="42"/>
      <c r="O16" s="42"/>
      <c r="P16" s="42"/>
      <c r="Q16" s="42"/>
      <c r="R16" s="42"/>
      <c r="S16" s="37">
        <v>10.0</v>
      </c>
      <c r="T16" s="37">
        <f t="shared" si="2"/>
        <v>20</v>
      </c>
      <c r="U16" s="38">
        <f t="shared" si="4"/>
        <v>350</v>
      </c>
      <c r="V16" s="46"/>
      <c r="W16" s="46"/>
      <c r="X16" s="46"/>
      <c r="Y16" s="46"/>
      <c r="Z16" s="46"/>
      <c r="AA16" s="46"/>
    </row>
    <row r="17">
      <c r="C17" s="31"/>
      <c r="D17" s="42"/>
      <c r="E17" s="42"/>
      <c r="F17" s="42"/>
      <c r="G17" s="38">
        <v>10.0</v>
      </c>
      <c r="H17" s="42"/>
      <c r="I17" s="37">
        <v>20.0</v>
      </c>
      <c r="J17" s="37">
        <f t="shared" si="1"/>
        <v>30</v>
      </c>
      <c r="K17" s="38">
        <f t="shared" si="3"/>
        <v>115</v>
      </c>
      <c r="L17" s="39">
        <v>14.0</v>
      </c>
      <c r="M17" s="32"/>
      <c r="N17" s="38">
        <v>-5.0</v>
      </c>
      <c r="O17" s="32"/>
      <c r="P17" s="42"/>
      <c r="Q17" s="42"/>
      <c r="R17" s="42"/>
      <c r="S17" s="32"/>
      <c r="T17" s="37">
        <f t="shared" si="2"/>
        <v>-5</v>
      </c>
      <c r="U17" s="38">
        <f t="shared" si="4"/>
        <v>345</v>
      </c>
      <c r="V17" s="40"/>
      <c r="W17" s="40"/>
      <c r="X17" s="40"/>
      <c r="Y17" s="40"/>
      <c r="Z17" s="46"/>
      <c r="AA17" s="46"/>
    </row>
    <row r="18">
      <c r="C18" s="44"/>
      <c r="D18" s="42"/>
      <c r="E18" s="42"/>
      <c r="F18" s="38">
        <v>-5.0</v>
      </c>
      <c r="G18" s="42"/>
      <c r="H18" s="42"/>
      <c r="I18" s="32"/>
      <c r="J18" s="37">
        <f t="shared" si="1"/>
        <v>-5</v>
      </c>
      <c r="K18" s="38">
        <f t="shared" si="3"/>
        <v>110</v>
      </c>
      <c r="L18" s="39">
        <v>15.0</v>
      </c>
      <c r="M18" s="32"/>
      <c r="N18" s="42"/>
      <c r="O18" s="38">
        <v>10.0</v>
      </c>
      <c r="P18" s="42"/>
      <c r="Q18" s="42"/>
      <c r="R18" s="42"/>
      <c r="S18" s="37">
        <v>10.0</v>
      </c>
      <c r="T18" s="37">
        <f t="shared" si="2"/>
        <v>20</v>
      </c>
      <c r="U18" s="38">
        <f t="shared" si="4"/>
        <v>365</v>
      </c>
      <c r="V18" s="40" t="str">
        <f>IFERROR(__xludf.DUMMYFUNCTION("IF(NOT(EQ(C38, """")), SPLIT(C38, "";""), """")"),"")</f>
        <v/>
      </c>
      <c r="W18" s="47"/>
      <c r="X18" s="40"/>
      <c r="Y18" s="40"/>
      <c r="Z18" s="46"/>
      <c r="AA18" s="46"/>
    </row>
    <row r="19">
      <c r="C19" s="44"/>
      <c r="D19" s="42"/>
      <c r="E19" s="42"/>
      <c r="F19" s="42"/>
      <c r="G19" s="42"/>
      <c r="H19" s="42"/>
      <c r="I19" s="32"/>
      <c r="J19" s="37">
        <f t="shared" si="1"/>
        <v>0</v>
      </c>
      <c r="K19" s="38">
        <f t="shared" si="3"/>
        <v>110</v>
      </c>
      <c r="L19" s="39">
        <v>16.0</v>
      </c>
      <c r="M19" s="32"/>
      <c r="N19" s="42"/>
      <c r="O19" s="38">
        <v>15.0</v>
      </c>
      <c r="P19" s="42"/>
      <c r="Q19" s="42"/>
      <c r="R19" s="42"/>
      <c r="S19" s="37">
        <v>20.0</v>
      </c>
      <c r="T19" s="37">
        <f t="shared" si="2"/>
        <v>35</v>
      </c>
      <c r="U19" s="38">
        <f t="shared" si="4"/>
        <v>400</v>
      </c>
      <c r="V19" s="40" t="str">
        <f t="shared" ref="V19:Y19" si="5">TRIM(V18)</f>
        <v/>
      </c>
      <c r="W19" s="40" t="str">
        <f t="shared" si="5"/>
        <v/>
      </c>
      <c r="X19" s="40" t="str">
        <f t="shared" si="5"/>
        <v/>
      </c>
      <c r="Y19" s="40" t="str">
        <f t="shared" si="5"/>
        <v/>
      </c>
      <c r="Z19" s="46"/>
      <c r="AA19" s="46"/>
    </row>
    <row r="20">
      <c r="C20" s="48"/>
      <c r="D20" s="49"/>
      <c r="E20" s="50"/>
      <c r="F20" s="49"/>
      <c r="G20" s="50"/>
      <c r="H20" s="49"/>
      <c r="I20" s="51"/>
      <c r="J20" s="52">
        <f t="shared" si="1"/>
        <v>0</v>
      </c>
      <c r="K20" s="53">
        <f t="shared" si="3"/>
        <v>110</v>
      </c>
      <c r="L20" s="54">
        <v>17.0</v>
      </c>
      <c r="M20" s="55"/>
      <c r="N20" s="49"/>
      <c r="O20" s="56"/>
      <c r="P20" s="49"/>
      <c r="Q20" s="56"/>
      <c r="R20" s="49"/>
      <c r="S20" s="51"/>
      <c r="T20" s="52">
        <f t="shared" si="2"/>
        <v>0</v>
      </c>
      <c r="U20" s="53">
        <f t="shared" si="4"/>
        <v>400</v>
      </c>
      <c r="V20" s="40" t="b">
        <f t="shared" ref="V20:Y20" si="6">EQ(V19,"")</f>
        <v>1</v>
      </c>
      <c r="W20" s="40" t="b">
        <f t="shared" si="6"/>
        <v>1</v>
      </c>
      <c r="X20" s="40" t="b">
        <f t="shared" si="6"/>
        <v>1</v>
      </c>
      <c r="Y20" s="40" t="b">
        <f t="shared" si="6"/>
        <v>1</v>
      </c>
      <c r="Z20" s="46"/>
      <c r="AA20" s="46"/>
    </row>
    <row r="21">
      <c r="C21" s="44"/>
      <c r="D21" s="42"/>
      <c r="E21" s="42"/>
      <c r="F21" s="42"/>
      <c r="G21" s="42"/>
      <c r="H21" s="42"/>
      <c r="I21" s="32"/>
      <c r="J21" s="37">
        <f t="shared" si="1"/>
        <v>0</v>
      </c>
      <c r="K21" s="38">
        <f t="shared" si="3"/>
        <v>110</v>
      </c>
      <c r="L21" s="39">
        <v>18.0</v>
      </c>
      <c r="M21" s="42"/>
      <c r="N21" s="32"/>
      <c r="O21" s="38">
        <v>10.0</v>
      </c>
      <c r="P21" s="42"/>
      <c r="Q21" s="42"/>
      <c r="R21" s="42"/>
      <c r="S21" s="37">
        <v>10.0</v>
      </c>
      <c r="T21" s="37">
        <f t="shared" si="2"/>
        <v>20</v>
      </c>
      <c r="U21" s="38">
        <f t="shared" si="4"/>
        <v>420</v>
      </c>
      <c r="V21" s="57" t="b">
        <f>EQ(UPPER(C2), LEFT(UPPER(V19), LEN(C2)))</f>
        <v>0</v>
      </c>
      <c r="W21" s="57" t="b">
        <f>EQ(UPPER(C2), LEFT(UPPER(W19), LEN(C2)))</f>
        <v>0</v>
      </c>
      <c r="X21" s="57" t="b">
        <f>EQ(UPPER(C2), LEFT(UPPER(X19), LEN(C2)))</f>
        <v>0</v>
      </c>
      <c r="Y21" s="57" t="b">
        <f>EQ(UPPER(C2), LEFT(UPPER(Y19), LEN(C2)))</f>
        <v>0</v>
      </c>
      <c r="Z21" s="46"/>
      <c r="AA21" s="46"/>
    </row>
    <row r="22">
      <c r="C22" s="44"/>
      <c r="D22" s="42"/>
      <c r="E22" s="42"/>
      <c r="F22" s="38">
        <v>-5.0</v>
      </c>
      <c r="G22" s="42"/>
      <c r="H22" s="42"/>
      <c r="I22" s="42"/>
      <c r="J22" s="37">
        <f t="shared" si="1"/>
        <v>-5</v>
      </c>
      <c r="K22" s="38">
        <f t="shared" si="3"/>
        <v>105</v>
      </c>
      <c r="L22" s="39">
        <v>19.0</v>
      </c>
      <c r="M22" s="38">
        <v>15.0</v>
      </c>
      <c r="N22" s="42"/>
      <c r="O22" s="32"/>
      <c r="P22" s="42"/>
      <c r="Q22" s="42"/>
      <c r="R22" s="42"/>
      <c r="S22" s="37">
        <v>30.0</v>
      </c>
      <c r="T22" s="37">
        <f t="shared" si="2"/>
        <v>45</v>
      </c>
      <c r="U22" s="38">
        <f t="shared" si="4"/>
        <v>465</v>
      </c>
      <c r="V22" s="57" t="b">
        <f>EQ(UPPER(M2), LEFT(UPPER(V19), LEN(M2)))</f>
        <v>0</v>
      </c>
      <c r="W22" s="57" t="b">
        <f>EQ(UPPER(M2), LEFT(UPPER(W19), LEN(M2)))</f>
        <v>0</v>
      </c>
      <c r="X22" s="40" t="b">
        <f>EQ(UPPER(M2), LEFT(UPPER(X19), LEN(M2)))</f>
        <v>0</v>
      </c>
      <c r="Y22" s="57" t="b">
        <f>EQ(UPPER(M2), LEFT(UPPER(Y19), LEN(M2)))</f>
        <v>0</v>
      </c>
      <c r="Z22" s="46"/>
      <c r="AA22" s="46"/>
    </row>
    <row r="23">
      <c r="C23" s="31"/>
      <c r="D23" s="42"/>
      <c r="E23" s="42"/>
      <c r="F23" s="42"/>
      <c r="G23" s="42"/>
      <c r="H23" s="42"/>
      <c r="I23" s="32"/>
      <c r="J23" s="37">
        <f t="shared" si="1"/>
        <v>0</v>
      </c>
      <c r="K23" s="38">
        <f t="shared" si="3"/>
        <v>105</v>
      </c>
      <c r="L23" s="39">
        <v>20.0</v>
      </c>
      <c r="M23" s="37">
        <v>15.0</v>
      </c>
      <c r="N23" s="42"/>
      <c r="O23" s="42"/>
      <c r="P23" s="42"/>
      <c r="Q23" s="42"/>
      <c r="R23" s="42"/>
      <c r="S23" s="38">
        <v>20.0</v>
      </c>
      <c r="T23" s="37">
        <f t="shared" si="2"/>
        <v>35</v>
      </c>
      <c r="U23" s="38">
        <f t="shared" si="4"/>
        <v>500</v>
      </c>
      <c r="V23" s="57" t="b">
        <f>IFERROR(__xludf.DUMMYFUNCTION("IFERROR(OR(REGEXEXTRACT(V19, ""[0-9]+ :|[0-9]+:""), True), False)"),FALSE)</f>
        <v>0</v>
      </c>
      <c r="W23" s="57" t="b">
        <f>IFERROR(__xludf.DUMMYFUNCTION("IFERROR(OR(REGEXEXTRACT(W19, ""[0-9]+ :|[0-9]+:""), True), False)"),FALSE)</f>
        <v>0</v>
      </c>
      <c r="X23" s="57" t="b">
        <f>IFERROR(__xludf.DUMMYFUNCTION("IFERROR(OR(REGEXEXTRACT(X19, ""[0-9]+ :|[0-9]+:""), True), False)"),FALSE)</f>
        <v>0</v>
      </c>
      <c r="Y23" s="57" t="b">
        <f>IFERROR(__xludf.DUMMYFUNCTION("IFERROR(OR(REGEXEXTRACT(Y19, ""[0-9]+ :|[0-9]+:""), True), False)"),FALSE)</f>
        <v>0</v>
      </c>
      <c r="Z23" s="46"/>
      <c r="AA23" s="46"/>
    </row>
    <row r="24">
      <c r="C24" s="67"/>
      <c r="D24" s="59"/>
      <c r="E24" s="60"/>
      <c r="F24" s="61"/>
      <c r="G24" s="60"/>
      <c r="H24" s="59"/>
      <c r="I24" s="62" t="s">
        <v>59</v>
      </c>
      <c r="J24" s="63">
        <f t="shared" ref="J24:J27" si="8">IF(COUNTA(C24:H24)&lt;=1, IF(AND(OR(C24&lt;0, D24&lt;0, E24&lt;0, F24&lt;0, G24&lt;0, H24&lt;0), I24&gt;0), "BON.ERR", SUM(C24:H24)), "NEG.ERR")</f>
        <v>0</v>
      </c>
      <c r="K24" s="64">
        <f t="shared" si="3"/>
        <v>105</v>
      </c>
      <c r="L24" s="68" t="s">
        <v>60</v>
      </c>
      <c r="M24" s="66"/>
      <c r="N24" s="59"/>
      <c r="O24" s="66"/>
      <c r="P24" s="59"/>
      <c r="Q24" s="66"/>
      <c r="R24" s="59"/>
      <c r="S24" s="62" t="s">
        <v>59</v>
      </c>
      <c r="T24" s="63">
        <f t="shared" ref="T24:T27" si="9">IF(COUNTA(M24:R24)&lt;=1, IF(AND(OR(M24&lt;0, N24&lt;0, O24&lt;0, P24&lt;0, Q24&lt;0, R24&lt;0), S24&gt;0), "BON.ERR", SUM(M24:R24)), "NEG.ERR")</f>
        <v>0</v>
      </c>
      <c r="U24" s="64">
        <f t="shared" si="4"/>
        <v>500</v>
      </c>
      <c r="V24" s="57" t="b">
        <f t="shared" ref="V24:W24" si="7">IFERROR(IF(V21, AND(FIND(UPPER(C3), UPPER(V19)) &gt; 0, NOT(EQ(C3,""))), AND(FIND(UPPER(M3), UPPER(V19)) &gt; 0, NOT(EQ(M3,"")))), FALSE)</f>
        <v>0</v>
      </c>
      <c r="W24" s="57" t="b">
        <f t="shared" si="7"/>
        <v>0</v>
      </c>
      <c r="X24" s="57" t="b">
        <f>IFERROR(IF(X21, AND(FIND(UPPER(C3), UPPER(X19)) &gt; 0, NOT(EQ(C3,""))), AND(FIND(UPPER(M3), UPPER(X19)) &gt; 0, NOT(EQ(M3,"")))), FALSE)</f>
        <v>0</v>
      </c>
      <c r="Y24" s="57" t="b">
        <f>IFERROR(IF(Y21, AND(FIND(UPPER(C3), UPPER(Y19)) &gt; 0, NOT(EQ(C3,""))), AND(FIND(UPPER(M3), UPPER(Y19)) &gt; 0, NOT(EQ(M3,"")))), FALSE)</f>
        <v>0</v>
      </c>
      <c r="Z24" s="46"/>
      <c r="AA24" s="46"/>
    </row>
    <row r="25">
      <c r="C25" s="67"/>
      <c r="D25" s="61"/>
      <c r="E25" s="60"/>
      <c r="F25" s="59"/>
      <c r="G25" s="60"/>
      <c r="H25" s="59"/>
      <c r="I25" s="62" t="s">
        <v>59</v>
      </c>
      <c r="J25" s="63">
        <f t="shared" si="8"/>
        <v>0</v>
      </c>
      <c r="K25" s="64">
        <f t="shared" si="3"/>
        <v>105</v>
      </c>
      <c r="L25" s="25"/>
      <c r="M25" s="66"/>
      <c r="N25" s="59"/>
      <c r="O25" s="66"/>
      <c r="P25" s="59"/>
      <c r="Q25" s="66"/>
      <c r="R25" s="59"/>
      <c r="S25" s="62" t="s">
        <v>59</v>
      </c>
      <c r="T25" s="63">
        <f t="shared" si="9"/>
        <v>0</v>
      </c>
      <c r="U25" s="64">
        <f t="shared" si="4"/>
        <v>500</v>
      </c>
      <c r="V25" s="57" t="b">
        <f t="shared" ref="V25:W25" si="10">IFERROR(IF(V21, AND(FIND(UPPER(D3), UPPER(V19)) &gt; 0, NOT(EQ(D3,""))), AND(FIND(UPPER(N3), UPPER(V19)) &gt; 0, NOT(EQ(N3,"")))), FALSE)</f>
        <v>0</v>
      </c>
      <c r="W25" s="57" t="b">
        <f t="shared" si="10"/>
        <v>0</v>
      </c>
      <c r="X25" s="57" t="b">
        <f>IFERROR(IF(X21, AND(FIND(UPPER(D3), UPPER(X19)) &gt; 0, NOT(EQ(D3,""))), AND(FIND(UPPER(N3), UPPER(X19)) &gt; 0, NOT(EQ(N3,"")))), FALSE)</f>
        <v>0</v>
      </c>
      <c r="Y25" s="57" t="b">
        <f>IFERROR(IF(Y21, AND(FIND(UPPER(D3), UPPER(Y19)) &gt; 0, NOT(EQ(D3,""))), AND(FIND(UPPER(N3), UPPER(Y19)) &gt; 0, NOT(EQ(N3,"")))), FALSE)</f>
        <v>0</v>
      </c>
      <c r="Z25" s="46"/>
      <c r="AA25" s="46"/>
    </row>
    <row r="26">
      <c r="C26" s="67"/>
      <c r="D26" s="59"/>
      <c r="E26" s="60"/>
      <c r="F26" s="59"/>
      <c r="G26" s="60"/>
      <c r="H26" s="59"/>
      <c r="I26" s="62" t="s">
        <v>59</v>
      </c>
      <c r="J26" s="63">
        <f t="shared" si="8"/>
        <v>0</v>
      </c>
      <c r="K26" s="64">
        <f t="shared" si="3"/>
        <v>105</v>
      </c>
      <c r="L26" s="25"/>
      <c r="M26" s="66"/>
      <c r="N26" s="59"/>
      <c r="O26" s="66"/>
      <c r="P26" s="59"/>
      <c r="Q26" s="66"/>
      <c r="R26" s="59"/>
      <c r="S26" s="62" t="s">
        <v>59</v>
      </c>
      <c r="T26" s="63">
        <f t="shared" si="9"/>
        <v>0</v>
      </c>
      <c r="U26" s="64">
        <f t="shared" si="4"/>
        <v>500</v>
      </c>
      <c r="V26" s="57" t="b">
        <f t="shared" ref="V26:W26" si="11">IFERROR(IF(V21, AND(FIND(UPPER(E3), UPPER(V19)) &gt; 0, NOT(EQ(E3,""))), AND(FIND(UPPER(O3), UPPER(V19)) &gt; 0, NOT(EQ(O3,"")))), FALSE)</f>
        <v>0</v>
      </c>
      <c r="W26" s="57" t="b">
        <f t="shared" si="11"/>
        <v>0</v>
      </c>
      <c r="X26" s="57" t="b">
        <f>IFERROR(IF(X21, AND(FIND(UPPER(E3), UPPER(X19)) &gt; 0, NOT(EQ(E3,""))), AND(FIND(UPPER(O3), UPPER(X19)) &gt; 0, NOT(EQ(O3,"")))), FALSE)</f>
        <v>0</v>
      </c>
      <c r="Y26" s="57" t="b">
        <f>IFERROR(IF(Y21, AND(FIND(UPPER(E3), UPPER(Y19)) &gt; 0, NOT(EQ(E3,""))), AND(FIND(UPPER(O3), UPPER(Y19)) &gt; 0, NOT(EQ(O3,"")))), FALSE)</f>
        <v>0</v>
      </c>
      <c r="Z26" s="46"/>
      <c r="AA26" s="46"/>
    </row>
    <row r="27">
      <c r="C27" s="67"/>
      <c r="D27" s="59"/>
      <c r="E27" s="60"/>
      <c r="F27" s="59"/>
      <c r="G27" s="60"/>
      <c r="H27" s="59"/>
      <c r="I27" s="62" t="s">
        <v>59</v>
      </c>
      <c r="J27" s="63">
        <f t="shared" si="8"/>
        <v>0</v>
      </c>
      <c r="K27" s="64">
        <f t="shared" si="3"/>
        <v>105</v>
      </c>
      <c r="L27" s="69"/>
      <c r="M27" s="66"/>
      <c r="N27" s="59"/>
      <c r="O27" s="66"/>
      <c r="P27" s="59"/>
      <c r="Q27" s="66"/>
      <c r="R27" s="59"/>
      <c r="S27" s="62" t="s">
        <v>59</v>
      </c>
      <c r="T27" s="63">
        <f t="shared" si="9"/>
        <v>0</v>
      </c>
      <c r="U27" s="64">
        <f t="shared" si="4"/>
        <v>500</v>
      </c>
      <c r="V27" s="57" t="b">
        <f t="shared" ref="V27:W27" si="12">IFERROR(IF(V21, AND(FIND(UPPER(F3), UPPER(V19)) &gt; 0, NOT(EQ(F3,""))), AND(FIND(UPPER(P3), UPPER(V19)) &gt; 0, NOT(EQ(P3,"")))), FALSE)</f>
        <v>0</v>
      </c>
      <c r="W27" s="57" t="b">
        <f t="shared" si="12"/>
        <v>0</v>
      </c>
      <c r="X27" s="57" t="b">
        <f>IFERROR(IF(X21, AND(FIND(UPPER(F3), UPPER(X19)) &gt; 0, NOT(EQ(F3,""))), AND(FIND(UPPER(P3), UPPER(X19)) &gt; 0, NOT(EQ(P3,"")))), FALSE)</f>
        <v>0</v>
      </c>
      <c r="Y27" s="57" t="b">
        <f>IFERROR(IF(Y21, AND(FIND(UPPER(F3), UPPER(Y19)) &gt; 0, NOT(EQ(F3,""))), AND(FIND(UPPER(P3), UPPER(Y19)) &gt; 0, NOT(EQ(P3,"")))), FALSE)</f>
        <v>0</v>
      </c>
      <c r="Z27" s="46"/>
      <c r="AA27" s="46"/>
    </row>
    <row r="28">
      <c r="B28" s="70">
        <v>15.0</v>
      </c>
      <c r="C28" s="71">
        <f t="shared" ref="C28:H28" si="13">COUNTIF(C4:C27, "=15")</f>
        <v>0</v>
      </c>
      <c r="D28" s="72">
        <f t="shared" si="13"/>
        <v>0</v>
      </c>
      <c r="E28" s="71">
        <f t="shared" si="13"/>
        <v>0</v>
      </c>
      <c r="F28" s="72">
        <f t="shared" si="13"/>
        <v>0</v>
      </c>
      <c r="G28" s="71">
        <f t="shared" si="13"/>
        <v>0</v>
      </c>
      <c r="H28" s="72">
        <f t="shared" si="13"/>
        <v>0</v>
      </c>
      <c r="I28" s="73" t="s">
        <v>61</v>
      </c>
      <c r="J28" s="74"/>
      <c r="K28" s="75" t="s">
        <v>62</v>
      </c>
      <c r="L28" s="76">
        <v>15.0</v>
      </c>
      <c r="M28" s="77">
        <f t="shared" ref="M28:R28" si="14">COUNTIF(M4:M27, "=15")</f>
        <v>3</v>
      </c>
      <c r="N28" s="78">
        <f t="shared" si="14"/>
        <v>0</v>
      </c>
      <c r="O28" s="77">
        <f t="shared" si="14"/>
        <v>3</v>
      </c>
      <c r="P28" s="78">
        <f t="shared" si="14"/>
        <v>0</v>
      </c>
      <c r="Q28" s="77">
        <f t="shared" si="14"/>
        <v>0</v>
      </c>
      <c r="R28" s="78">
        <f t="shared" si="14"/>
        <v>0</v>
      </c>
      <c r="S28" s="79" t="s">
        <v>61</v>
      </c>
      <c r="T28" s="74"/>
      <c r="U28" s="80" t="s">
        <v>62</v>
      </c>
      <c r="V28" s="57" t="b">
        <f t="shared" ref="V28:W28" si="15">IFERROR(IF(V21, AND(FIND(UPPER(G3), UPPER(V19)) &gt; 0, NOT(EQ(G3,""))), AND(FIND(UPPER(Q3), UPPER(V19)) &gt; 0, NOT(EQ(Q3,"")))), FALSE)</f>
        <v>0</v>
      </c>
      <c r="W28" s="57" t="b">
        <f t="shared" si="15"/>
        <v>0</v>
      </c>
      <c r="X28" s="57" t="b">
        <f>IFERROR(IF(X21, AND(FIND(UPPER(G3), UPPER(X19)) &gt; 0, NOT(EQ(G3,""))), AND(FIND(UPPER(Q3), UPPER(X19)) &gt; 0, NOT(EQ(Q3,"")))), FALSE)</f>
        <v>0</v>
      </c>
      <c r="Y28" s="57" t="b">
        <f>IFERROR(IF(Y21, AND(FIND(UPPER(G3), UPPER(Y19)) &gt; 0, NOT(EQ(G3,""))), AND(FIND(UPPER(Q3), UPPER(Y19)) &gt; 0, NOT(EQ(Q3,"")))), FALSE)</f>
        <v>0</v>
      </c>
      <c r="Z28" s="46"/>
      <c r="AA28" s="46"/>
    </row>
    <row r="29">
      <c r="B29" s="81">
        <v>10.0</v>
      </c>
      <c r="C29" s="82">
        <f t="shared" ref="C29:H29" si="16">COUNTIF(C4:C27, "=10")</f>
        <v>1</v>
      </c>
      <c r="D29" s="83">
        <f t="shared" si="16"/>
        <v>1</v>
      </c>
      <c r="E29" s="82">
        <f t="shared" si="16"/>
        <v>1</v>
      </c>
      <c r="F29" s="83">
        <f t="shared" si="16"/>
        <v>0</v>
      </c>
      <c r="G29" s="82">
        <f t="shared" si="16"/>
        <v>1</v>
      </c>
      <c r="H29" s="83">
        <f t="shared" si="16"/>
        <v>0</v>
      </c>
      <c r="I29" s="84"/>
      <c r="J29" s="25"/>
      <c r="K29" s="85"/>
      <c r="L29" s="86">
        <v>10.0</v>
      </c>
      <c r="M29" s="87">
        <f t="shared" ref="M29:R29" si="17">COUNTIF(M4:M27, "=10")</f>
        <v>2</v>
      </c>
      <c r="N29" s="88">
        <f t="shared" si="17"/>
        <v>5</v>
      </c>
      <c r="O29" s="87">
        <f t="shared" si="17"/>
        <v>2</v>
      </c>
      <c r="P29" s="88">
        <f t="shared" si="17"/>
        <v>0</v>
      </c>
      <c r="Q29" s="87">
        <f t="shared" si="17"/>
        <v>0</v>
      </c>
      <c r="R29" s="88">
        <f t="shared" si="17"/>
        <v>0</v>
      </c>
      <c r="S29" s="84"/>
      <c r="T29" s="25"/>
      <c r="U29" s="85"/>
      <c r="V29" s="57" t="b">
        <f>IFERROR(IF(V21, AND(FIND(UPPER(H3), UPPER(V19)) &gt; 0, NOT(EQ(H3,""))), AND(FIND(UPPER(R3), UPPER(V19)) &gt; 0, NOT(EQ(R3,"")))), FALSE)</f>
        <v>0</v>
      </c>
      <c r="W29" s="57" t="b">
        <f>IFERROR(IF(W21, AND(FIND(UPPER(C3), UPPER(W19)) &gt; 0, NOT(EQ(C3,""))), AND(FIND(UPPER(M3), UPPER(W19)) &gt; 0, NOT(EQ(M3,"")))), FALSE)</f>
        <v>0</v>
      </c>
      <c r="X29" s="57" t="b">
        <f>IFERROR(IF(X21, AND(FIND(UPPER(H3), UPPER(X19)) &gt; 0, NOT(EQ(H3,""))), AND(FIND(UPPER(R3), UPPER(X19)) &gt; 0, NOT(EQ(R3,"")))), FALSE)</f>
        <v>0</v>
      </c>
      <c r="Y29" s="57" t="b">
        <f>IFERROR(IF(Y21, AND(FIND(UPPER(H3), UPPER(Y19)) &gt; 0, NOT(EQ(H3,""))), AND(FIND(UPPER(R3), UPPER(Y19)) &gt; 0, NOT(EQ(R3,"")))), FALSE)</f>
        <v>0</v>
      </c>
      <c r="Z29" s="46"/>
      <c r="AA29" s="46"/>
    </row>
    <row r="30">
      <c r="B30" s="81">
        <v>-5.0</v>
      </c>
      <c r="C30" s="89">
        <f t="shared" ref="C30:H30" si="18">COUNTIF(C4:C27, "=-5")</f>
        <v>1</v>
      </c>
      <c r="D30" s="90">
        <f t="shared" si="18"/>
        <v>0</v>
      </c>
      <c r="E30" s="89">
        <f t="shared" si="18"/>
        <v>0</v>
      </c>
      <c r="F30" s="90">
        <f t="shared" si="18"/>
        <v>2</v>
      </c>
      <c r="G30" s="89">
        <f t="shared" si="18"/>
        <v>0</v>
      </c>
      <c r="H30" s="90">
        <f t="shared" si="18"/>
        <v>0</v>
      </c>
      <c r="I30" s="91">
        <f>sum(I4:I23)</f>
        <v>80</v>
      </c>
      <c r="J30" s="25"/>
      <c r="K30" s="92">
        <f>IFERROR(I30/SUM(C28:G29), 0)</f>
        <v>20</v>
      </c>
      <c r="L30" s="86">
        <v>-5.0</v>
      </c>
      <c r="M30" s="93">
        <f t="shared" ref="M30:R30" si="19">COUNTIF(M4:M27, "=-5")</f>
        <v>1</v>
      </c>
      <c r="N30" s="94">
        <f t="shared" si="19"/>
        <v>1</v>
      </c>
      <c r="O30" s="93">
        <f t="shared" si="19"/>
        <v>0</v>
      </c>
      <c r="P30" s="94">
        <f t="shared" si="19"/>
        <v>0</v>
      </c>
      <c r="Q30" s="93">
        <f t="shared" si="19"/>
        <v>0</v>
      </c>
      <c r="R30" s="94">
        <f t="shared" si="19"/>
        <v>0</v>
      </c>
      <c r="S30" s="95">
        <f>sum(S4:S23)</f>
        <v>330</v>
      </c>
      <c r="T30" s="25"/>
      <c r="U30" s="96">
        <f>IFERROR(S30/SUM(M28:Q29), 0)</f>
        <v>22</v>
      </c>
      <c r="V30" s="57" t="b">
        <f t="shared" ref="V30:W30" si="20">AND(IF(AND(COUNTIF(V24:V29, TRUE)=2, IFERROR(FIND("-", V19) &gt; 0, TRUE)), TRUE, IF(AND(COUNTIF(V24:V29, TRUE)=1, IFERROR(FIND("-", V19) &gt; 0, FALSE)), TRUE, FALSE)),V23)</f>
        <v>0</v>
      </c>
      <c r="W30" s="57" t="b">
        <f t="shared" si="20"/>
        <v>0</v>
      </c>
      <c r="X30" s="57" t="b">
        <f>AND(IF(AND(COUNTIF(X24:X29, TRUE)= 2, IFERROR(FIND("-", X19) &gt; 0, TRUE)), TRUE, IF(AND(COUNTIF(X24:X29,TRUE)=1, IFERROR(FIND("-", X19) &gt; 0, FALSE)), TRUE, FALSE)),X23)</f>
        <v>0</v>
      </c>
      <c r="Y30" s="57" t="b">
        <f>AND(IF(AND(COUNTIF(Y24:Y29, TRUE)=2, IFERROR(FIND("-", Y19) &gt; 0, TRUE)), TRUE, IF(AND(COUNTIF(Y24:Y29, TRUE)=1, IFERROR(FIND("-", Y19) &gt; 0, FALSE)), TRUE, FALSE)),Y23)</f>
        <v>0</v>
      </c>
      <c r="Z30" s="46"/>
      <c r="AA30" s="46"/>
    </row>
    <row r="31">
      <c r="B31" s="97" t="s">
        <v>63</v>
      </c>
      <c r="C31" s="98">
        <f t="shared" ref="C31:H31" si="21">(C28*15)+(C29*10)+(C30*-5)</f>
        <v>5</v>
      </c>
      <c r="D31" s="99">
        <f t="shared" si="21"/>
        <v>10</v>
      </c>
      <c r="E31" s="98">
        <f t="shared" si="21"/>
        <v>10</v>
      </c>
      <c r="F31" s="99">
        <f t="shared" si="21"/>
        <v>-10</v>
      </c>
      <c r="G31" s="98">
        <f t="shared" si="21"/>
        <v>10</v>
      </c>
      <c r="H31" s="99">
        <f t="shared" si="21"/>
        <v>0</v>
      </c>
      <c r="I31" s="100"/>
      <c r="J31" s="69"/>
      <c r="K31" s="101"/>
      <c r="L31" s="102" t="s">
        <v>63</v>
      </c>
      <c r="M31" s="103">
        <f t="shared" ref="M31:R31" si="22">(M28*15)+(M29*10)+(M30*-5)</f>
        <v>60</v>
      </c>
      <c r="N31" s="99">
        <f t="shared" si="22"/>
        <v>45</v>
      </c>
      <c r="O31" s="103">
        <f t="shared" si="22"/>
        <v>65</v>
      </c>
      <c r="P31" s="99">
        <f t="shared" si="22"/>
        <v>0</v>
      </c>
      <c r="Q31" s="103">
        <f t="shared" si="22"/>
        <v>0</v>
      </c>
      <c r="R31" s="99">
        <f t="shared" si="22"/>
        <v>0</v>
      </c>
      <c r="S31" s="100"/>
      <c r="T31" s="69"/>
      <c r="U31" s="101"/>
      <c r="V31" s="40" t="b">
        <f t="shared" ref="V31:Y31" si="23">OR(AND(V30, OR(V21,V22)),V20)</f>
        <v>1</v>
      </c>
      <c r="W31" s="40" t="b">
        <f t="shared" si="23"/>
        <v>1</v>
      </c>
      <c r="X31" s="40" t="b">
        <f t="shared" si="23"/>
        <v>1</v>
      </c>
      <c r="Y31" s="40" t="b">
        <f t="shared" si="23"/>
        <v>1</v>
      </c>
      <c r="Z31" s="46"/>
      <c r="AA31" s="46"/>
    </row>
    <row r="32">
      <c r="B32" s="104">
        <f>K27</f>
        <v>105</v>
      </c>
      <c r="I32" s="25"/>
      <c r="J32" s="105" t="s">
        <v>64</v>
      </c>
      <c r="K32" s="106"/>
      <c r="L32" s="106"/>
      <c r="M32" s="74"/>
      <c r="N32" s="107">
        <f>U27</f>
        <v>500</v>
      </c>
      <c r="O32" s="106"/>
      <c r="P32" s="106"/>
      <c r="Q32" s="106"/>
      <c r="R32" s="106"/>
      <c r="S32" s="106"/>
      <c r="T32" s="106"/>
      <c r="U32" s="74"/>
      <c r="V32" s="40" t="b">
        <f>AND(V31:Y31)</f>
        <v>1</v>
      </c>
      <c r="W32" s="40"/>
      <c r="X32" s="40"/>
      <c r="Y32" s="40"/>
      <c r="Z32" s="46"/>
      <c r="AA32" s="46"/>
    </row>
    <row r="33">
      <c r="B33" s="84"/>
      <c r="I33" s="25"/>
      <c r="J33" s="84"/>
      <c r="M33" s="25"/>
      <c r="N33" s="84"/>
      <c r="U33" s="25"/>
      <c r="V33" s="40"/>
      <c r="W33" s="40"/>
      <c r="X33" s="40"/>
      <c r="Y33" s="40"/>
      <c r="Z33" s="46"/>
      <c r="AA33" s="46"/>
    </row>
    <row r="34">
      <c r="B34" s="100"/>
      <c r="C34" s="109"/>
      <c r="D34" s="109"/>
      <c r="E34" s="109"/>
      <c r="F34" s="109"/>
      <c r="G34" s="109"/>
      <c r="H34" s="109"/>
      <c r="I34" s="69"/>
      <c r="J34" s="100"/>
      <c r="K34" s="109"/>
      <c r="L34" s="109"/>
      <c r="M34" s="69"/>
      <c r="N34" s="100"/>
      <c r="O34" s="109"/>
      <c r="P34" s="109"/>
      <c r="Q34" s="109"/>
      <c r="R34" s="109"/>
      <c r="S34" s="109"/>
      <c r="T34" s="109"/>
      <c r="U34" s="69"/>
      <c r="V34" s="46"/>
      <c r="W34" s="46"/>
      <c r="X34" s="46"/>
      <c r="Y34" s="46"/>
      <c r="Z34" s="46"/>
      <c r="AA34" s="46"/>
    </row>
    <row r="35">
      <c r="V35" s="46"/>
      <c r="W35" s="46"/>
      <c r="X35" s="46"/>
      <c r="Y35" s="46"/>
      <c r="Z35" s="46"/>
      <c r="AA35" s="40"/>
    </row>
    <row r="36">
      <c r="V36" s="46"/>
      <c r="W36" s="46"/>
      <c r="X36" s="46"/>
      <c r="Y36" s="46"/>
      <c r="Z36" s="46"/>
      <c r="AA36" s="40"/>
    </row>
    <row r="37">
      <c r="C37" s="110" t="s">
        <v>65</v>
      </c>
      <c r="V37" s="46"/>
      <c r="W37" s="46"/>
      <c r="X37" s="46"/>
      <c r="Y37" s="46"/>
      <c r="Z37" s="46"/>
      <c r="AA37" s="40"/>
    </row>
    <row r="38">
      <c r="D38" s="111"/>
      <c r="E38" s="111"/>
      <c r="F38" s="111"/>
      <c r="G38" s="111"/>
      <c r="H38" s="111"/>
      <c r="I38" s="111"/>
      <c r="J38" s="111"/>
      <c r="K38" s="111"/>
      <c r="L38" s="111"/>
      <c r="M38" s="111"/>
      <c r="N38" s="111"/>
      <c r="O38" s="111"/>
      <c r="P38" s="111"/>
      <c r="Q38" s="111"/>
      <c r="R38" s="111"/>
      <c r="S38" s="111"/>
      <c r="T38" s="111"/>
      <c r="V38" s="46"/>
      <c r="W38" s="46"/>
      <c r="X38" s="46"/>
      <c r="Y38" s="46"/>
      <c r="Z38" s="46"/>
      <c r="AA38" s="40"/>
    </row>
    <row r="39">
      <c r="C39" s="111"/>
      <c r="D39" s="111"/>
      <c r="E39" s="111"/>
      <c r="F39" s="111"/>
      <c r="G39" s="111"/>
      <c r="H39" s="111"/>
      <c r="I39" s="111"/>
      <c r="J39" s="111"/>
      <c r="K39" s="111"/>
      <c r="L39" s="111"/>
      <c r="M39" s="111"/>
      <c r="N39" s="111"/>
      <c r="O39" s="111"/>
      <c r="P39" s="111"/>
      <c r="Q39" s="111"/>
      <c r="R39" s="111"/>
      <c r="S39" s="111"/>
      <c r="T39" s="111"/>
      <c r="V39" s="46"/>
      <c r="W39" s="46"/>
      <c r="X39" s="46"/>
      <c r="Y39" s="46"/>
      <c r="Z39" s="46"/>
      <c r="AA39" s="40"/>
    </row>
    <row r="40">
      <c r="C40" s="111"/>
      <c r="D40" s="111"/>
      <c r="E40" s="111"/>
      <c r="F40" s="111"/>
      <c r="G40" s="111"/>
      <c r="H40" s="111"/>
      <c r="I40" s="111"/>
      <c r="J40" s="111"/>
      <c r="K40" s="111"/>
      <c r="L40" s="111"/>
      <c r="M40" s="111"/>
      <c r="N40" s="111"/>
      <c r="O40" s="111"/>
      <c r="P40" s="111"/>
      <c r="Q40" s="111"/>
      <c r="R40" s="111"/>
      <c r="S40" s="111"/>
      <c r="T40" s="111"/>
      <c r="V40" s="46"/>
      <c r="W40" s="46"/>
      <c r="X40" s="46"/>
      <c r="Y40" s="112"/>
      <c r="Z40" s="112"/>
      <c r="AA40" s="40"/>
    </row>
    <row r="41">
      <c r="C41" s="111"/>
      <c r="D41" s="111"/>
      <c r="E41" s="111"/>
      <c r="F41" s="111"/>
      <c r="G41" s="111"/>
      <c r="H41" s="111"/>
      <c r="I41" s="111"/>
      <c r="J41" s="111"/>
      <c r="K41" s="111"/>
      <c r="L41" s="111"/>
      <c r="M41" s="111"/>
      <c r="N41" s="111"/>
      <c r="O41" s="111"/>
      <c r="P41" s="111"/>
      <c r="Q41" s="111"/>
      <c r="R41" s="111"/>
      <c r="S41" s="111"/>
      <c r="T41" s="111"/>
      <c r="V41" s="46"/>
      <c r="W41" s="46"/>
      <c r="X41" s="46"/>
      <c r="Y41" s="46"/>
      <c r="Z41" s="46"/>
      <c r="AA41" s="40"/>
    </row>
    <row r="42">
      <c r="C42" s="111"/>
      <c r="D42" s="111"/>
      <c r="E42" s="111"/>
      <c r="F42" s="111"/>
      <c r="G42" s="111"/>
      <c r="H42" s="111"/>
      <c r="I42" s="111"/>
      <c r="J42" s="111"/>
      <c r="K42" s="111"/>
      <c r="L42" s="111"/>
      <c r="M42" s="111"/>
      <c r="N42" s="111"/>
      <c r="O42" s="111"/>
      <c r="P42" s="111"/>
      <c r="Q42" s="111"/>
      <c r="R42" s="111"/>
      <c r="S42" s="111"/>
      <c r="T42" s="111"/>
      <c r="V42" s="46"/>
      <c r="W42" s="46"/>
      <c r="X42" s="46"/>
      <c r="Y42" s="46"/>
      <c r="Z42" s="46"/>
      <c r="AA42" s="40"/>
    </row>
    <row r="43">
      <c r="C43" s="111"/>
      <c r="D43" s="111"/>
      <c r="E43" s="111"/>
      <c r="F43" s="111"/>
      <c r="G43" s="111"/>
      <c r="H43" s="111"/>
      <c r="I43" s="111"/>
      <c r="J43" s="111"/>
      <c r="K43" s="111"/>
      <c r="L43" s="111"/>
      <c r="M43" s="111"/>
      <c r="N43" s="111"/>
      <c r="O43" s="111"/>
      <c r="P43" s="111"/>
      <c r="Q43" s="111"/>
      <c r="R43" s="111"/>
      <c r="S43" s="111"/>
      <c r="T43" s="111"/>
      <c r="V43" s="46"/>
      <c r="W43" s="46"/>
      <c r="X43" s="46"/>
      <c r="Y43" s="46"/>
      <c r="Z43" s="46"/>
      <c r="AA43" s="40"/>
    </row>
    <row r="44">
      <c r="C44" s="113"/>
      <c r="F44" s="113"/>
      <c r="G44" s="113"/>
      <c r="V44" s="114"/>
      <c r="W44" s="46"/>
      <c r="X44" s="46"/>
      <c r="Y44" s="46"/>
      <c r="Z44" s="46"/>
      <c r="AA44" s="40"/>
    </row>
    <row r="45">
      <c r="C45" s="113"/>
      <c r="F45" s="113"/>
      <c r="G45" s="113"/>
      <c r="V45" s="40"/>
      <c r="W45" s="40"/>
      <c r="X45" s="40"/>
      <c r="Y45" s="40"/>
      <c r="Z45" s="40"/>
      <c r="AA45" s="40"/>
    </row>
    <row r="46">
      <c r="C46" s="115" t="s">
        <v>66</v>
      </c>
      <c r="F46" s="113"/>
      <c r="G46" s="113"/>
      <c r="V46" s="40"/>
      <c r="W46" s="40"/>
      <c r="X46" s="40"/>
      <c r="Y46" s="40"/>
      <c r="Z46" s="40"/>
      <c r="AA46" s="40"/>
    </row>
    <row r="47">
      <c r="C47" s="116"/>
      <c r="V47" s="40"/>
      <c r="W47" s="40"/>
      <c r="X47" s="40"/>
      <c r="Y47" s="40"/>
      <c r="Z47" s="40"/>
      <c r="AA47" s="40"/>
    </row>
    <row r="48">
      <c r="V48" s="40"/>
      <c r="W48" s="40"/>
      <c r="X48" s="40"/>
      <c r="Y48" s="40"/>
      <c r="Z48" s="40"/>
      <c r="AA48" s="40"/>
    </row>
    <row r="49">
      <c r="V49" s="40"/>
      <c r="W49" s="40"/>
      <c r="X49" s="40"/>
      <c r="Y49" s="40"/>
      <c r="Z49" s="40"/>
      <c r="AA49" s="40"/>
    </row>
    <row r="50">
      <c r="V50" s="40"/>
      <c r="W50" s="40"/>
      <c r="X50" s="40"/>
      <c r="Y50" s="40"/>
      <c r="Z50" s="40"/>
      <c r="AA50" s="40"/>
    </row>
    <row r="51">
      <c r="V51" s="40"/>
      <c r="W51" s="40"/>
      <c r="X51" s="40"/>
      <c r="Y51" s="40"/>
      <c r="Z51" s="40"/>
      <c r="AA51" s="40"/>
    </row>
    <row r="52">
      <c r="V52" s="40"/>
      <c r="W52" s="40"/>
      <c r="X52" s="40"/>
      <c r="Y52" s="40"/>
      <c r="Z52" s="40"/>
      <c r="AA52" s="40"/>
    </row>
    <row r="53">
      <c r="C53" s="113"/>
      <c r="F53" s="113"/>
      <c r="G53" s="113"/>
      <c r="V53" s="40"/>
      <c r="W53" s="40"/>
      <c r="X53" s="40"/>
      <c r="Y53" s="40"/>
      <c r="Z53" s="40"/>
      <c r="AA53" s="40"/>
    </row>
    <row r="54">
      <c r="C54" s="113"/>
      <c r="F54" s="113"/>
      <c r="G54" s="113"/>
      <c r="V54" s="40"/>
      <c r="W54" s="40"/>
      <c r="X54" s="40"/>
      <c r="Y54" s="40"/>
      <c r="Z54" s="40"/>
      <c r="AA54" s="40"/>
    </row>
  </sheetData>
  <mergeCells count="17">
    <mergeCell ref="I30:J31"/>
    <mergeCell ref="B32:I34"/>
    <mergeCell ref="C47:T52"/>
    <mergeCell ref="J32:M34"/>
    <mergeCell ref="N32:U34"/>
    <mergeCell ref="U30:U31"/>
    <mergeCell ref="S30:T31"/>
    <mergeCell ref="K28:K29"/>
    <mergeCell ref="S28:T29"/>
    <mergeCell ref="K30:K31"/>
    <mergeCell ref="G1:Q1"/>
    <mergeCell ref="C2:K2"/>
    <mergeCell ref="L2:L3"/>
    <mergeCell ref="M2:U2"/>
    <mergeCell ref="L24:L27"/>
    <mergeCell ref="I28:J29"/>
    <mergeCell ref="U28:U29"/>
  </mergeCells>
  <conditionalFormatting sqref="C4:U23">
    <cfRule type="expression" dxfId="0" priority="1">
      <formula>$I:$I&lt;&gt;""</formula>
    </cfRule>
  </conditionalFormatting>
  <conditionalFormatting sqref="C4:U23">
    <cfRule type="expression" dxfId="0" priority="2">
      <formula>$S:$S&lt;&gt;""</formula>
    </cfRule>
  </conditionalFormatting>
  <conditionalFormatting sqref="A1">
    <cfRule type="notContainsBlanks" dxfId="1" priority="3">
      <formula>LEN(TRIM(A1))&gt;0</formula>
    </cfRule>
  </conditionalFormatting>
  <conditionalFormatting sqref="X12">
    <cfRule type="notContainsBlanks" dxfId="1" priority="4">
      <formula>LEN(TRIM(X12))&gt;0</formula>
    </cfRule>
  </conditionalFormatting>
  <conditionalFormatting sqref="C38:T43">
    <cfRule type="expression" dxfId="2" priority="5">
      <formula>NOT(V32)</formula>
    </cfRule>
  </conditionalFormatting>
  <dataValidations>
    <dataValidation type="list" allowBlank="1" showErrorMessage="1" sqref="C3:H3">
      <formula1>'ROUND 2'!$W$5:$W$11</formula1>
    </dataValidation>
    <dataValidation type="list" allowBlank="1" showErrorMessage="1" sqref="M3:R3">
      <formula1>'ROUND 2'!$X$5:$X$11</formula1>
    </dataValidation>
    <dataValidation type="list" allowBlank="1" showErrorMessage="1" sqref="I4:I23 S4:S23">
      <formula1>"0,10,20,30"</formula1>
    </dataValidation>
    <dataValidation type="list" allowBlank="1" showErrorMessage="1" sqref="C4:H27 M4:R27">
      <formula1>"-5,10,15"</formula1>
    </dataValidation>
    <dataValidation type="list" allowBlank="1" showErrorMessage="1" sqref="C2 M2">
      <formula1>INSTRUCTIONS!$A$28:$AJ$28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1" max="1" width="1.29"/>
    <col customWidth="1" min="2" max="2" width="5.0"/>
    <col customWidth="1" min="3" max="7" width="8.71"/>
    <col customWidth="1" min="8" max="8" width="8.43"/>
    <col customWidth="1" min="9" max="9" width="9.14"/>
    <col customWidth="1" min="10" max="10" width="8.29"/>
    <col customWidth="1" min="11" max="11" width="8.0"/>
    <col customWidth="1" min="12" max="12" width="8.86"/>
    <col customWidth="1" min="13" max="13" width="8.71"/>
    <col customWidth="1" min="14" max="14" width="8.43"/>
    <col customWidth="1" min="15" max="18" width="8.71"/>
    <col customWidth="1" min="19" max="19" width="8.86"/>
    <col customWidth="1" min="20" max="20" width="8.0"/>
    <col customWidth="1" min="21" max="21" width="8.43"/>
    <col customWidth="1" min="22" max="22" width="21.57"/>
  </cols>
  <sheetData>
    <row r="1" ht="18.75" customHeight="1">
      <c r="C1" s="2"/>
      <c r="D1" s="2"/>
      <c r="E1" s="2"/>
      <c r="F1" s="2"/>
      <c r="G1" s="5" t="s">
        <v>48</v>
      </c>
      <c r="R1" s="2"/>
      <c r="S1" s="2"/>
      <c r="T1" s="2"/>
      <c r="U1" s="2"/>
      <c r="V1" s="7"/>
      <c r="W1" s="7"/>
      <c r="X1" s="7"/>
      <c r="Y1" s="7"/>
      <c r="Z1" s="7"/>
    </row>
    <row r="2" ht="18.75" customHeight="1">
      <c r="C2" s="9" t="s">
        <v>49</v>
      </c>
      <c r="D2" s="11"/>
      <c r="E2" s="11"/>
      <c r="F2" s="11"/>
      <c r="G2" s="11"/>
      <c r="H2" s="11"/>
      <c r="I2" s="11"/>
      <c r="J2" s="11"/>
      <c r="K2" s="12"/>
      <c r="L2" s="15" t="s">
        <v>9</v>
      </c>
      <c r="M2" s="17" t="s">
        <v>50</v>
      </c>
      <c r="N2" s="11"/>
      <c r="O2" s="11"/>
      <c r="P2" s="11"/>
      <c r="Q2" s="11"/>
      <c r="R2" s="11"/>
      <c r="S2" s="11"/>
      <c r="T2" s="11"/>
      <c r="U2" s="12"/>
      <c r="V2" s="7"/>
      <c r="W2" s="7"/>
      <c r="X2" s="7"/>
      <c r="Y2" s="7"/>
      <c r="Z2" s="7"/>
    </row>
    <row r="3">
      <c r="C3" s="18" t="s">
        <v>51</v>
      </c>
      <c r="D3" s="20" t="s">
        <v>52</v>
      </c>
      <c r="E3" s="22" t="s">
        <v>53</v>
      </c>
      <c r="F3" s="20" t="s">
        <v>54</v>
      </c>
      <c r="G3" s="22"/>
      <c r="H3" s="20"/>
      <c r="I3" s="23" t="s">
        <v>24</v>
      </c>
      <c r="J3" s="24" t="s">
        <v>27</v>
      </c>
      <c r="K3" s="23" t="s">
        <v>29</v>
      </c>
      <c r="L3" s="25"/>
      <c r="M3" s="26" t="s">
        <v>55</v>
      </c>
      <c r="N3" s="28" t="s">
        <v>56</v>
      </c>
      <c r="O3" s="26" t="s">
        <v>57</v>
      </c>
      <c r="P3" s="28" t="s">
        <v>58</v>
      </c>
      <c r="Q3" s="26"/>
      <c r="R3" s="30"/>
      <c r="S3" s="23" t="s">
        <v>24</v>
      </c>
      <c r="T3" s="24" t="s">
        <v>27</v>
      </c>
      <c r="U3" s="23" t="s">
        <v>29</v>
      </c>
      <c r="V3" s="7"/>
      <c r="W3" s="7"/>
      <c r="X3" s="7"/>
      <c r="Y3" s="7"/>
      <c r="Z3" s="7"/>
    </row>
    <row r="4">
      <c r="C4" s="31"/>
      <c r="D4" s="32"/>
      <c r="E4" s="32"/>
      <c r="F4" s="37">
        <v>10.0</v>
      </c>
      <c r="G4" s="32"/>
      <c r="H4" s="32"/>
      <c r="I4" s="37">
        <v>10.0</v>
      </c>
      <c r="J4" s="37">
        <f t="shared" ref="J4:J23" si="1">IF(AND(COUNTA(C4:H4)=0,I4&gt;0), "BON.ERR", IF(COUNTA(C4:H4)&lt;=1, IF(AND(OR(C4&lt;0, D4&lt;0, E4&lt;0, F4&lt;0, G4&lt;0, H4&lt;0), I4&gt;0), "BON.ERR", SUM(C4:I4)), "TEAM.ERR"))</f>
        <v>20</v>
      </c>
      <c r="K4" s="38">
        <f>if(sum(sum(C4:H4), M4:R4)&lt;-6, "NEG.ERR", if(and(sum(C4:I4)&gt;0, sum(M4:S4)&gt;0), "ERROR", sum(J4)))</f>
        <v>20</v>
      </c>
      <c r="L4" s="39">
        <v>1.0</v>
      </c>
      <c r="M4" s="32"/>
      <c r="N4" s="32"/>
      <c r="O4" s="32"/>
      <c r="P4" s="32"/>
      <c r="Q4" s="32"/>
      <c r="R4" s="32"/>
      <c r="S4" s="32"/>
      <c r="T4" s="37">
        <f t="shared" ref="T4:T23" si="2">IF(AND(COUNTA(M4:R4)=0,S4&gt;0), "BON.ERR", IF(COUNTA(M4:R4)&lt;=1, IF(AND(OR(M4&lt;0, N4&lt;0, O4&lt;0, P4&lt;0, Q4&lt;0, R4&lt;0), S4&gt;0), "BON.ERR", SUM(M4:S4)), "TEAM.ERR"))</f>
        <v>0</v>
      </c>
      <c r="U4" s="38">
        <f>if(sum(sum(C4:H4), M4:R4)&lt;-6, "NEG.ERR", if(and(sum(C4:H4)&gt;0, sum(M4:R4)&gt;0), "ERROR", sum(T4)))</f>
        <v>0</v>
      </c>
      <c r="V4" s="40"/>
      <c r="W4" s="41" t="str">
        <f>IFERROR(__xludf.DUMMYFUNCTION("filter(INSTRUCTIONS!A28:AJ39, INSTRUCTIONS!A28:AJ28=C2)"),"CENTENNIAL A")</f>
        <v>CENTENNIAL A</v>
      </c>
      <c r="X4" s="41" t="str">
        <f>IFERROR(__xludf.DUMMYFUNCTION("filter(INSTRUCTIONS!A28:AJ39, INSTRUCTIONS!A28:AJ28=M2)"),"CENTENNIAL LANE B")</f>
        <v>CENTENNIAL LANE B</v>
      </c>
      <c r="Y4" s="41"/>
      <c r="Z4" s="40"/>
      <c r="AA4" s="40"/>
    </row>
    <row r="5">
      <c r="C5" s="31"/>
      <c r="D5" s="32"/>
      <c r="E5" s="32"/>
      <c r="F5" s="32"/>
      <c r="G5" s="32"/>
      <c r="H5" s="32"/>
      <c r="I5" s="32"/>
      <c r="J5" s="37">
        <f t="shared" si="1"/>
        <v>0</v>
      </c>
      <c r="K5" s="38">
        <f t="shared" ref="K5:K27" si="3">if(sum(sum(C5:H5), M5:R5)&lt;-6, "NEG.ERR", if(and(sum(C5:I5)&gt;0, sum(M5:S5)&gt;0), "ERROR", sum(J5,K4)))</f>
        <v>20</v>
      </c>
      <c r="L5" s="39">
        <v>2.0</v>
      </c>
      <c r="M5" s="32"/>
      <c r="N5" s="37">
        <v>15.0</v>
      </c>
      <c r="O5" s="32"/>
      <c r="P5" s="32"/>
      <c r="Q5" s="42"/>
      <c r="R5" s="42"/>
      <c r="S5" s="37">
        <v>0.0</v>
      </c>
      <c r="T5" s="37">
        <f t="shared" si="2"/>
        <v>15</v>
      </c>
      <c r="U5" s="38">
        <f t="shared" ref="U5:U27" si="4">if(sum(sum(C5:H5), M5:R5)&lt;-6, "NEG.ERR", if(and(sum(C5:H5)&gt;0, sum(M5:R5)&gt;0), "ERROR", sum(T5,U4)))</f>
        <v>15</v>
      </c>
      <c r="V5" s="40"/>
      <c r="W5" s="41" t="str">
        <f>IFERROR(__xludf.DUMMYFUNCTION("""COMPUTED_VALUE"""),"Nathan Ho")</f>
        <v>Nathan Ho</v>
      </c>
      <c r="X5" s="41" t="str">
        <f>IFERROR(__xludf.DUMMYFUNCTION("""COMPUTED_VALUE"""),"Thomas Diep")</f>
        <v>Thomas Diep</v>
      </c>
      <c r="Y5" s="41"/>
      <c r="Z5" s="40"/>
      <c r="AA5" s="40"/>
    </row>
    <row r="6">
      <c r="C6" s="58"/>
      <c r="D6" s="59"/>
      <c r="E6" s="60"/>
      <c r="F6" s="61"/>
      <c r="G6" s="60"/>
      <c r="H6" s="59"/>
      <c r="I6" s="62"/>
      <c r="J6" s="63">
        <f t="shared" si="1"/>
        <v>0</v>
      </c>
      <c r="K6" s="64">
        <f t="shared" si="3"/>
        <v>20</v>
      </c>
      <c r="L6" s="65">
        <v>3.0</v>
      </c>
      <c r="M6" s="66"/>
      <c r="N6" s="59"/>
      <c r="O6" s="30"/>
      <c r="P6" s="61"/>
      <c r="Q6" s="30"/>
      <c r="R6" s="59"/>
      <c r="S6" s="62"/>
      <c r="T6" s="63">
        <f t="shared" si="2"/>
        <v>0</v>
      </c>
      <c r="U6" s="64">
        <f t="shared" si="4"/>
        <v>15</v>
      </c>
      <c r="V6" s="40"/>
      <c r="W6" s="41" t="str">
        <f>IFERROR(__xludf.DUMMYFUNCTION("""COMPUTED_VALUE"""),"Ryan Jiang")</f>
        <v>Ryan Jiang</v>
      </c>
      <c r="X6" s="41" t="str">
        <f>IFERROR(__xludf.DUMMYFUNCTION("""COMPUTED_VALUE"""),"Daniel Lei")</f>
        <v>Daniel Lei</v>
      </c>
      <c r="Y6" s="41"/>
      <c r="Z6" s="40"/>
      <c r="AA6" s="40"/>
    </row>
    <row r="7">
      <c r="C7" s="31"/>
      <c r="D7" s="42"/>
      <c r="E7" s="38">
        <v>15.0</v>
      </c>
      <c r="F7" s="42"/>
      <c r="G7" s="42"/>
      <c r="H7" s="32"/>
      <c r="I7" s="37">
        <v>20.0</v>
      </c>
      <c r="J7" s="37">
        <f t="shared" si="1"/>
        <v>35</v>
      </c>
      <c r="K7" s="38">
        <f t="shared" si="3"/>
        <v>55</v>
      </c>
      <c r="L7" s="39">
        <v>4.0</v>
      </c>
      <c r="M7" s="42"/>
      <c r="N7" s="42"/>
      <c r="O7" s="42"/>
      <c r="P7" s="42"/>
      <c r="Q7" s="42"/>
      <c r="R7" s="42"/>
      <c r="S7" s="42"/>
      <c r="T7" s="37">
        <f t="shared" si="2"/>
        <v>0</v>
      </c>
      <c r="U7" s="38">
        <f t="shared" si="4"/>
        <v>15</v>
      </c>
      <c r="V7" s="40"/>
      <c r="W7" s="41" t="str">
        <f>IFERROR(__xludf.DUMMYFUNCTION("""COMPUTED_VALUE"""),"Carter Matties")</f>
        <v>Carter Matties</v>
      </c>
      <c r="X7" s="41" t="str">
        <f>IFERROR(__xludf.DUMMYFUNCTION("""COMPUTED_VALUE"""),"Jason Oberly")</f>
        <v>Jason Oberly</v>
      </c>
      <c r="Y7" s="41"/>
      <c r="Z7" s="40"/>
      <c r="AA7" s="40"/>
    </row>
    <row r="8">
      <c r="C8" s="31"/>
      <c r="D8" s="37">
        <v>10.0</v>
      </c>
      <c r="E8" s="32"/>
      <c r="F8" s="32"/>
      <c r="G8" s="42"/>
      <c r="H8" s="42"/>
      <c r="I8" s="37">
        <v>0.0</v>
      </c>
      <c r="J8" s="37">
        <f t="shared" si="1"/>
        <v>10</v>
      </c>
      <c r="K8" s="38">
        <f t="shared" si="3"/>
        <v>65</v>
      </c>
      <c r="L8" s="39">
        <v>5.0</v>
      </c>
      <c r="M8" s="32"/>
      <c r="N8" s="42"/>
      <c r="O8" s="42"/>
      <c r="P8" s="42"/>
      <c r="Q8" s="32"/>
      <c r="R8" s="42"/>
      <c r="S8" s="32"/>
      <c r="T8" s="37">
        <f t="shared" si="2"/>
        <v>0</v>
      </c>
      <c r="U8" s="38">
        <f t="shared" si="4"/>
        <v>15</v>
      </c>
      <c r="V8" s="40"/>
      <c r="W8" s="41" t="str">
        <f>IFERROR(__xludf.DUMMYFUNCTION("""COMPUTED_VALUE"""),"Ben Kantsiper")</f>
        <v>Ben Kantsiper</v>
      </c>
      <c r="X8" s="41" t="str">
        <f>IFERROR(__xludf.DUMMYFUNCTION("""COMPUTED_VALUE"""),"Matthew Yang")</f>
        <v>Matthew Yang</v>
      </c>
      <c r="Y8" s="41"/>
      <c r="Z8" s="40"/>
      <c r="AA8" s="40"/>
    </row>
    <row r="9">
      <c r="C9" s="44"/>
      <c r="D9" s="37">
        <v>15.0</v>
      </c>
      <c r="E9" s="32"/>
      <c r="F9" s="32"/>
      <c r="G9" s="32"/>
      <c r="H9" s="42"/>
      <c r="I9" s="37">
        <v>20.0</v>
      </c>
      <c r="J9" s="37">
        <f t="shared" si="1"/>
        <v>35</v>
      </c>
      <c r="K9" s="38">
        <f t="shared" si="3"/>
        <v>100</v>
      </c>
      <c r="L9" s="39">
        <v>6.0</v>
      </c>
      <c r="M9" s="42"/>
      <c r="N9" s="42"/>
      <c r="O9" s="42"/>
      <c r="P9" s="32"/>
      <c r="Q9" s="42"/>
      <c r="R9" s="42"/>
      <c r="S9" s="42"/>
      <c r="T9" s="37">
        <f t="shared" si="2"/>
        <v>0</v>
      </c>
      <c r="U9" s="38">
        <f t="shared" si="4"/>
        <v>15</v>
      </c>
      <c r="V9" s="40"/>
      <c r="W9" s="41" t="str">
        <f>IFERROR(__xludf.DUMMYFUNCTION("""COMPUTED_VALUE"""),"")</f>
        <v/>
      </c>
      <c r="X9" s="41" t="str">
        <f>IFERROR(__xludf.DUMMYFUNCTION("""COMPUTED_VALUE"""),"")</f>
        <v/>
      </c>
      <c r="Y9" s="41"/>
      <c r="Z9" s="40"/>
      <c r="AA9" s="40"/>
    </row>
    <row r="10">
      <c r="C10" s="67"/>
      <c r="D10" s="61"/>
      <c r="E10" s="60"/>
      <c r="F10" s="61"/>
      <c r="G10" s="60"/>
      <c r="H10" s="59"/>
      <c r="I10" s="62"/>
      <c r="J10" s="63">
        <f t="shared" si="1"/>
        <v>0</v>
      </c>
      <c r="K10" s="64">
        <f t="shared" si="3"/>
        <v>100</v>
      </c>
      <c r="L10" s="65">
        <v>7.0</v>
      </c>
      <c r="M10" s="66"/>
      <c r="N10" s="59"/>
      <c r="O10" s="30"/>
      <c r="P10" s="59"/>
      <c r="Q10" s="66"/>
      <c r="R10" s="59"/>
      <c r="S10" s="62"/>
      <c r="T10" s="63">
        <f t="shared" si="2"/>
        <v>0</v>
      </c>
      <c r="U10" s="64">
        <f t="shared" si="4"/>
        <v>15</v>
      </c>
      <c r="V10" s="40"/>
      <c r="W10" s="41" t="str">
        <f>IFERROR(__xludf.DUMMYFUNCTION("""COMPUTED_VALUE"""),"")</f>
        <v/>
      </c>
      <c r="X10" s="41" t="str">
        <f>IFERROR(__xludf.DUMMYFUNCTION("""COMPUTED_VALUE"""),"")</f>
        <v/>
      </c>
      <c r="Y10" s="41"/>
      <c r="Z10" s="40"/>
      <c r="AA10" s="40"/>
    </row>
    <row r="11">
      <c r="C11" s="44"/>
      <c r="D11" s="32"/>
      <c r="E11" s="42"/>
      <c r="F11" s="38">
        <v>10.0</v>
      </c>
      <c r="G11" s="42"/>
      <c r="H11" s="42"/>
      <c r="I11" s="37">
        <v>20.0</v>
      </c>
      <c r="J11" s="37">
        <f t="shared" si="1"/>
        <v>30</v>
      </c>
      <c r="K11" s="38">
        <f t="shared" si="3"/>
        <v>130</v>
      </c>
      <c r="L11" s="39">
        <v>8.0</v>
      </c>
      <c r="M11" s="42"/>
      <c r="N11" s="42"/>
      <c r="O11" s="42"/>
      <c r="P11" s="42"/>
      <c r="Q11" s="42"/>
      <c r="R11" s="42"/>
      <c r="S11" s="42"/>
      <c r="T11" s="37">
        <f t="shared" si="2"/>
        <v>0</v>
      </c>
      <c r="U11" s="38">
        <f t="shared" si="4"/>
        <v>15</v>
      </c>
      <c r="V11" s="40"/>
      <c r="W11" s="41" t="str">
        <f>IFERROR(__xludf.DUMMYFUNCTION("""COMPUTED_VALUE"""),"")</f>
        <v/>
      </c>
      <c r="X11" s="41" t="str">
        <f>IFERROR(__xludf.DUMMYFUNCTION("""COMPUTED_VALUE"""),"")</f>
        <v/>
      </c>
      <c r="Y11" s="41"/>
      <c r="Z11" s="40"/>
      <c r="AA11" s="40"/>
    </row>
    <row r="12">
      <c r="C12" s="44"/>
      <c r="D12" s="37">
        <v>10.0</v>
      </c>
      <c r="E12" s="42"/>
      <c r="F12" s="42"/>
      <c r="G12" s="42"/>
      <c r="H12" s="42"/>
      <c r="I12" s="37">
        <v>20.0</v>
      </c>
      <c r="J12" s="37">
        <f t="shared" si="1"/>
        <v>30</v>
      </c>
      <c r="K12" s="38">
        <f t="shared" si="3"/>
        <v>160</v>
      </c>
      <c r="L12" s="39">
        <v>9.0</v>
      </c>
      <c r="M12" s="42"/>
      <c r="N12" s="32"/>
      <c r="O12" s="42"/>
      <c r="P12" s="42"/>
      <c r="Q12" s="42"/>
      <c r="R12" s="42"/>
      <c r="S12" s="32"/>
      <c r="T12" s="37">
        <f t="shared" si="2"/>
        <v>0</v>
      </c>
      <c r="U12" s="38">
        <f t="shared" si="4"/>
        <v>15</v>
      </c>
      <c r="V12" s="40"/>
      <c r="W12" s="41" t="str">
        <f>IFERROR(__xludf.DUMMYFUNCTION("""COMPUTED_VALUE"""),"")</f>
        <v/>
      </c>
      <c r="X12" s="41" t="str">
        <f>IFERROR(__xludf.DUMMYFUNCTION("""COMPUTED_VALUE"""),"")</f>
        <v/>
      </c>
      <c r="Y12" s="41"/>
      <c r="Z12" s="40"/>
      <c r="AA12" s="40"/>
    </row>
    <row r="13">
      <c r="C13" s="45">
        <v>10.0</v>
      </c>
      <c r="D13" s="32"/>
      <c r="E13" s="32"/>
      <c r="F13" s="42"/>
      <c r="G13" s="42"/>
      <c r="H13" s="42"/>
      <c r="I13" s="37">
        <v>0.0</v>
      </c>
      <c r="J13" s="37">
        <f t="shared" si="1"/>
        <v>10</v>
      </c>
      <c r="K13" s="38">
        <f t="shared" si="3"/>
        <v>170</v>
      </c>
      <c r="L13" s="39">
        <v>10.0</v>
      </c>
      <c r="M13" s="42"/>
      <c r="N13" s="42"/>
      <c r="O13" s="32"/>
      <c r="P13" s="42"/>
      <c r="Q13" s="42"/>
      <c r="R13" s="42"/>
      <c r="S13" s="32"/>
      <c r="T13" s="37">
        <f t="shared" si="2"/>
        <v>0</v>
      </c>
      <c r="U13" s="38">
        <f t="shared" si="4"/>
        <v>15</v>
      </c>
      <c r="V13" s="40"/>
      <c r="W13" s="40" t="str">
        <f>IFERROR(__xludf.DUMMYFUNCTION("""COMPUTED_VALUE"""),"")</f>
        <v/>
      </c>
      <c r="X13" s="40" t="str">
        <f>IFERROR(__xludf.DUMMYFUNCTION("""COMPUTED_VALUE"""),"")</f>
        <v/>
      </c>
      <c r="Y13" s="40"/>
      <c r="Z13" s="40"/>
      <c r="AA13" s="40"/>
    </row>
    <row r="14">
      <c r="C14" s="31"/>
      <c r="D14" s="32"/>
      <c r="E14" s="38">
        <v>10.0</v>
      </c>
      <c r="F14" s="42"/>
      <c r="G14" s="42"/>
      <c r="H14" s="42"/>
      <c r="I14" s="37">
        <v>20.0</v>
      </c>
      <c r="J14" s="37">
        <f t="shared" si="1"/>
        <v>30</v>
      </c>
      <c r="K14" s="38">
        <f t="shared" si="3"/>
        <v>200</v>
      </c>
      <c r="L14" s="39">
        <v>11.0</v>
      </c>
      <c r="M14" s="32"/>
      <c r="N14" s="42"/>
      <c r="O14" s="32"/>
      <c r="P14" s="38">
        <v>-5.0</v>
      </c>
      <c r="Q14" s="42"/>
      <c r="R14" s="42"/>
      <c r="S14" s="32"/>
      <c r="T14" s="37">
        <f t="shared" si="2"/>
        <v>-5</v>
      </c>
      <c r="U14" s="38">
        <f t="shared" si="4"/>
        <v>10</v>
      </c>
      <c r="V14" s="46"/>
      <c r="W14" s="46" t="str">
        <f>IFERROR(__xludf.DUMMYFUNCTION("""COMPUTED_VALUE"""),"")</f>
        <v/>
      </c>
      <c r="X14" s="46" t="str">
        <f>IFERROR(__xludf.DUMMYFUNCTION("""COMPUTED_VALUE"""),"")</f>
        <v/>
      </c>
      <c r="Y14" s="46"/>
      <c r="Z14" s="46"/>
      <c r="AA14" s="46"/>
    </row>
    <row r="15">
      <c r="C15" s="44"/>
      <c r="D15" s="42"/>
      <c r="E15" s="38">
        <v>15.0</v>
      </c>
      <c r="F15" s="32"/>
      <c r="G15" s="42"/>
      <c r="H15" s="42"/>
      <c r="I15" s="37">
        <v>20.0</v>
      </c>
      <c r="J15" s="37">
        <f t="shared" si="1"/>
        <v>35</v>
      </c>
      <c r="K15" s="38">
        <f t="shared" si="3"/>
        <v>235</v>
      </c>
      <c r="L15" s="39">
        <v>12.0</v>
      </c>
      <c r="M15" s="42"/>
      <c r="N15" s="32"/>
      <c r="O15" s="42"/>
      <c r="P15" s="42"/>
      <c r="Q15" s="42"/>
      <c r="R15" s="42"/>
      <c r="S15" s="42"/>
      <c r="T15" s="37">
        <f t="shared" si="2"/>
        <v>0</v>
      </c>
      <c r="U15" s="38">
        <f t="shared" si="4"/>
        <v>10</v>
      </c>
      <c r="V15" s="46"/>
      <c r="W15" s="46" t="str">
        <f>IFERROR(__xludf.DUMMYFUNCTION("""COMPUTED_VALUE"""),"")</f>
        <v/>
      </c>
      <c r="X15" s="46" t="str">
        <f>IFERROR(__xludf.DUMMYFUNCTION("""COMPUTED_VALUE"""),"")</f>
        <v/>
      </c>
      <c r="Y15" s="46"/>
      <c r="Z15" s="46"/>
      <c r="AA15" s="46"/>
    </row>
    <row r="16">
      <c r="C16" s="58"/>
      <c r="D16" s="108">
        <v>-5.0</v>
      </c>
      <c r="E16" s="60"/>
      <c r="F16" s="59"/>
      <c r="G16" s="60"/>
      <c r="H16" s="61"/>
      <c r="I16" s="62"/>
      <c r="J16" s="63">
        <f t="shared" si="1"/>
        <v>-5</v>
      </c>
      <c r="K16" s="64">
        <f t="shared" si="3"/>
        <v>230</v>
      </c>
      <c r="L16" s="65">
        <v>13.0</v>
      </c>
      <c r="M16" s="30"/>
      <c r="N16" s="59"/>
      <c r="O16" s="66"/>
      <c r="P16" s="59"/>
      <c r="Q16" s="66"/>
      <c r="R16" s="59"/>
      <c r="S16" s="62"/>
      <c r="T16" s="63">
        <f t="shared" si="2"/>
        <v>0</v>
      </c>
      <c r="U16" s="64">
        <f t="shared" si="4"/>
        <v>10</v>
      </c>
      <c r="V16" s="46"/>
      <c r="W16" s="46"/>
      <c r="X16" s="46"/>
      <c r="Y16" s="46"/>
      <c r="Z16" s="46"/>
      <c r="AA16" s="46"/>
    </row>
    <row r="17">
      <c r="C17" s="31"/>
      <c r="D17" s="38">
        <v>-5.0</v>
      </c>
      <c r="E17" s="42"/>
      <c r="F17" s="42"/>
      <c r="G17" s="42"/>
      <c r="H17" s="42"/>
      <c r="I17" s="32"/>
      <c r="J17" s="37">
        <f t="shared" si="1"/>
        <v>-5</v>
      </c>
      <c r="K17" s="38">
        <f t="shared" si="3"/>
        <v>225</v>
      </c>
      <c r="L17" s="39">
        <v>14.0</v>
      </c>
      <c r="M17" s="37">
        <v>10.0</v>
      </c>
      <c r="N17" s="42"/>
      <c r="O17" s="32"/>
      <c r="P17" s="42"/>
      <c r="Q17" s="42"/>
      <c r="R17" s="42"/>
      <c r="S17" s="37">
        <v>20.0</v>
      </c>
      <c r="T17" s="37">
        <f t="shared" si="2"/>
        <v>30</v>
      </c>
      <c r="U17" s="38">
        <f t="shared" si="4"/>
        <v>40</v>
      </c>
      <c r="V17" s="40"/>
      <c r="W17" s="40"/>
      <c r="X17" s="40"/>
      <c r="Y17" s="40"/>
      <c r="Z17" s="46"/>
      <c r="AA17" s="46"/>
    </row>
    <row r="18">
      <c r="C18" s="44"/>
      <c r="D18" s="42"/>
      <c r="E18" s="42"/>
      <c r="F18" s="38">
        <v>10.0</v>
      </c>
      <c r="G18" s="42"/>
      <c r="H18" s="42"/>
      <c r="I18" s="37">
        <v>10.0</v>
      </c>
      <c r="J18" s="37">
        <f t="shared" si="1"/>
        <v>20</v>
      </c>
      <c r="K18" s="38">
        <f t="shared" si="3"/>
        <v>245</v>
      </c>
      <c r="L18" s="39">
        <v>15.0</v>
      </c>
      <c r="M18" s="32"/>
      <c r="N18" s="42"/>
      <c r="O18" s="42"/>
      <c r="P18" s="42"/>
      <c r="Q18" s="42"/>
      <c r="R18" s="42"/>
      <c r="S18" s="32"/>
      <c r="T18" s="37">
        <f t="shared" si="2"/>
        <v>0</v>
      </c>
      <c r="U18" s="38">
        <f t="shared" si="4"/>
        <v>40</v>
      </c>
      <c r="V18" s="40" t="str">
        <f>IFERROR(__xludf.DUMMYFUNCTION("IF(NOT(EQ(C38, """")), SPLIT(C38, "";""), """")"),"")</f>
        <v/>
      </c>
      <c r="W18" s="47"/>
      <c r="X18" s="40"/>
      <c r="Y18" s="40"/>
      <c r="Z18" s="46"/>
      <c r="AA18" s="46"/>
    </row>
    <row r="19">
      <c r="C19" s="44"/>
      <c r="D19" s="42"/>
      <c r="E19" s="38">
        <v>10.0</v>
      </c>
      <c r="F19" s="42"/>
      <c r="G19" s="42"/>
      <c r="H19" s="42"/>
      <c r="I19" s="37">
        <v>10.0</v>
      </c>
      <c r="J19" s="37">
        <f t="shared" si="1"/>
        <v>20</v>
      </c>
      <c r="K19" s="38">
        <f t="shared" si="3"/>
        <v>265</v>
      </c>
      <c r="L19" s="39">
        <v>16.0</v>
      </c>
      <c r="M19" s="32"/>
      <c r="N19" s="42"/>
      <c r="O19" s="42"/>
      <c r="P19" s="42"/>
      <c r="Q19" s="42"/>
      <c r="R19" s="42"/>
      <c r="S19" s="32"/>
      <c r="T19" s="37">
        <f t="shared" si="2"/>
        <v>0</v>
      </c>
      <c r="U19" s="38">
        <f t="shared" si="4"/>
        <v>40</v>
      </c>
      <c r="V19" s="40" t="str">
        <f t="shared" ref="V19:Y19" si="5">TRIM(V18)</f>
        <v/>
      </c>
      <c r="W19" s="40" t="str">
        <f t="shared" si="5"/>
        <v/>
      </c>
      <c r="X19" s="40" t="str">
        <f t="shared" si="5"/>
        <v/>
      </c>
      <c r="Y19" s="40" t="str">
        <f t="shared" si="5"/>
        <v/>
      </c>
      <c r="Z19" s="46"/>
      <c r="AA19" s="46"/>
    </row>
    <row r="20">
      <c r="C20" s="31"/>
      <c r="D20" s="38">
        <v>10.0</v>
      </c>
      <c r="E20" s="42"/>
      <c r="F20" s="42"/>
      <c r="G20" s="42"/>
      <c r="H20" s="42"/>
      <c r="I20" s="37">
        <v>30.0</v>
      </c>
      <c r="J20" s="37">
        <f t="shared" si="1"/>
        <v>40</v>
      </c>
      <c r="K20" s="38">
        <f t="shared" si="3"/>
        <v>305</v>
      </c>
      <c r="L20" s="39">
        <v>17.0</v>
      </c>
      <c r="M20" s="32"/>
      <c r="N20" s="38">
        <v>-5.0</v>
      </c>
      <c r="O20" s="42"/>
      <c r="P20" s="42"/>
      <c r="Q20" s="42"/>
      <c r="R20" s="42"/>
      <c r="S20" s="32"/>
      <c r="T20" s="37">
        <f t="shared" si="2"/>
        <v>-5</v>
      </c>
      <c r="U20" s="38">
        <f t="shared" si="4"/>
        <v>35</v>
      </c>
      <c r="V20" s="40" t="b">
        <f t="shared" ref="V20:Y20" si="6">EQ(V19,"")</f>
        <v>1</v>
      </c>
      <c r="W20" s="40" t="b">
        <f t="shared" si="6"/>
        <v>1</v>
      </c>
      <c r="X20" s="40" t="b">
        <f t="shared" si="6"/>
        <v>1</v>
      </c>
      <c r="Y20" s="40" t="b">
        <f t="shared" si="6"/>
        <v>1</v>
      </c>
      <c r="Z20" s="46"/>
      <c r="AA20" s="46"/>
    </row>
    <row r="21">
      <c r="C21" s="44"/>
      <c r="D21" s="42"/>
      <c r="E21" s="42"/>
      <c r="F21" s="38">
        <v>15.0</v>
      </c>
      <c r="G21" s="42"/>
      <c r="H21" s="42"/>
      <c r="I21" s="37">
        <v>20.0</v>
      </c>
      <c r="J21" s="37">
        <f t="shared" si="1"/>
        <v>35</v>
      </c>
      <c r="K21" s="38">
        <f t="shared" si="3"/>
        <v>340</v>
      </c>
      <c r="L21" s="39">
        <v>18.0</v>
      </c>
      <c r="M21" s="42"/>
      <c r="N21" s="32"/>
      <c r="O21" s="42"/>
      <c r="P21" s="42"/>
      <c r="Q21" s="42"/>
      <c r="R21" s="42"/>
      <c r="S21" s="32"/>
      <c r="T21" s="37">
        <f t="shared" si="2"/>
        <v>0</v>
      </c>
      <c r="U21" s="38">
        <f t="shared" si="4"/>
        <v>35</v>
      </c>
      <c r="V21" s="57" t="b">
        <f>EQ(UPPER(C2), LEFT(UPPER(V19), LEN(C2)))</f>
        <v>0</v>
      </c>
      <c r="W21" s="57" t="b">
        <f>EQ(UPPER(C2), LEFT(UPPER(W19), LEN(C2)))</f>
        <v>0</v>
      </c>
      <c r="X21" s="57" t="b">
        <f>EQ(UPPER(C2), LEFT(UPPER(X19), LEN(C2)))</f>
        <v>0</v>
      </c>
      <c r="Y21" s="57" t="b">
        <f>EQ(UPPER(C2), LEFT(UPPER(Y19), LEN(C2)))</f>
        <v>0</v>
      </c>
      <c r="Z21" s="46"/>
      <c r="AA21" s="46"/>
    </row>
    <row r="22">
      <c r="C22" s="67"/>
      <c r="D22" s="59"/>
      <c r="E22" s="117">
        <v>-5.0</v>
      </c>
      <c r="F22" s="59"/>
      <c r="G22" s="60"/>
      <c r="H22" s="59"/>
      <c r="I22" s="118"/>
      <c r="J22" s="63">
        <f t="shared" si="1"/>
        <v>-5</v>
      </c>
      <c r="K22" s="64">
        <f t="shared" si="3"/>
        <v>335</v>
      </c>
      <c r="L22" s="65">
        <v>19.0</v>
      </c>
      <c r="M22" s="66"/>
      <c r="N22" s="59"/>
      <c r="O22" s="30"/>
      <c r="P22" s="59"/>
      <c r="Q22" s="66"/>
      <c r="R22" s="59"/>
      <c r="S22" s="62"/>
      <c r="T22" s="63">
        <f t="shared" si="2"/>
        <v>0</v>
      </c>
      <c r="U22" s="64">
        <f t="shared" si="4"/>
        <v>35</v>
      </c>
      <c r="V22" s="57" t="b">
        <f>EQ(UPPER(M2), LEFT(UPPER(V19), LEN(M2)))</f>
        <v>0</v>
      </c>
      <c r="W22" s="57" t="b">
        <f>EQ(UPPER(M2), LEFT(UPPER(W19), LEN(M2)))</f>
        <v>0</v>
      </c>
      <c r="X22" s="40" t="b">
        <f>EQ(UPPER(M2), LEFT(UPPER(X19), LEN(M2)))</f>
        <v>0</v>
      </c>
      <c r="Y22" s="57" t="b">
        <f>EQ(UPPER(M2), LEFT(UPPER(Y19), LEN(M2)))</f>
        <v>0</v>
      </c>
      <c r="Z22" s="46"/>
      <c r="AA22" s="46"/>
    </row>
    <row r="23">
      <c r="C23" s="58"/>
      <c r="D23" s="59"/>
      <c r="E23" s="60"/>
      <c r="F23" s="59"/>
      <c r="G23" s="60"/>
      <c r="H23" s="59"/>
      <c r="I23" s="62"/>
      <c r="J23" s="63">
        <f t="shared" si="1"/>
        <v>0</v>
      </c>
      <c r="K23" s="64">
        <f t="shared" si="3"/>
        <v>335</v>
      </c>
      <c r="L23" s="65">
        <v>20.0</v>
      </c>
      <c r="M23" s="30"/>
      <c r="N23" s="59"/>
      <c r="O23" s="66"/>
      <c r="P23" s="59"/>
      <c r="Q23" s="66"/>
      <c r="R23" s="59"/>
      <c r="S23" s="118"/>
      <c r="T23" s="63">
        <f t="shared" si="2"/>
        <v>0</v>
      </c>
      <c r="U23" s="64">
        <f t="shared" si="4"/>
        <v>35</v>
      </c>
      <c r="V23" s="57" t="b">
        <f>IFERROR(__xludf.DUMMYFUNCTION("IFERROR(OR(REGEXEXTRACT(V19, ""[0-9]+ :|[0-9]+:""), True), False)"),FALSE)</f>
        <v>0</v>
      </c>
      <c r="W23" s="57" t="b">
        <f>IFERROR(__xludf.DUMMYFUNCTION("IFERROR(OR(REGEXEXTRACT(W19, ""[0-9]+ :|[0-9]+:""), True), False)"),FALSE)</f>
        <v>0</v>
      </c>
      <c r="X23" s="57" t="b">
        <f>IFERROR(__xludf.DUMMYFUNCTION("IFERROR(OR(REGEXEXTRACT(X19, ""[0-9]+ :|[0-9]+:""), True), False)"),FALSE)</f>
        <v>0</v>
      </c>
      <c r="Y23" s="57" t="b">
        <f>IFERROR(__xludf.DUMMYFUNCTION("IFERROR(OR(REGEXEXTRACT(Y19, ""[0-9]+ :|[0-9]+:""), True), False)"),FALSE)</f>
        <v>0</v>
      </c>
      <c r="Z23" s="46"/>
      <c r="AA23" s="46"/>
    </row>
    <row r="24">
      <c r="C24" s="67"/>
      <c r="D24" s="59"/>
      <c r="E24" s="60"/>
      <c r="F24" s="61"/>
      <c r="G24" s="60"/>
      <c r="H24" s="59"/>
      <c r="I24" s="62" t="s">
        <v>59</v>
      </c>
      <c r="J24" s="63">
        <f t="shared" ref="J24:J27" si="8">IF(COUNTA(C24:H24)&lt;=1, IF(AND(OR(C24&lt;0, D24&lt;0, E24&lt;0, F24&lt;0, G24&lt;0, H24&lt;0), I24&gt;0), "BON.ERR", SUM(C24:H24)), "NEG.ERR")</f>
        <v>0</v>
      </c>
      <c r="K24" s="64">
        <f t="shared" si="3"/>
        <v>335</v>
      </c>
      <c r="L24" s="68" t="s">
        <v>60</v>
      </c>
      <c r="M24" s="66"/>
      <c r="N24" s="59"/>
      <c r="O24" s="66"/>
      <c r="P24" s="59"/>
      <c r="Q24" s="66"/>
      <c r="R24" s="59"/>
      <c r="S24" s="62" t="s">
        <v>59</v>
      </c>
      <c r="T24" s="63">
        <f t="shared" ref="T24:T27" si="9">IF(COUNTA(M24:R24)&lt;=1, IF(AND(OR(M24&lt;0, N24&lt;0, O24&lt;0, P24&lt;0, Q24&lt;0, R24&lt;0), S24&gt;0), "BON.ERR", SUM(M24:R24)), "NEG.ERR")</f>
        <v>0</v>
      </c>
      <c r="U24" s="64">
        <f t="shared" si="4"/>
        <v>35</v>
      </c>
      <c r="V24" s="57" t="b">
        <f t="shared" ref="V24:W24" si="7">IFERROR(IF(V21, AND(FIND(UPPER(C3), UPPER(V19)) &gt; 0, NOT(EQ(C3,""))), AND(FIND(UPPER(M3), UPPER(V19)) &gt; 0, NOT(EQ(M3,"")))), FALSE)</f>
        <v>0</v>
      </c>
      <c r="W24" s="57" t="b">
        <f t="shared" si="7"/>
        <v>0</v>
      </c>
      <c r="X24" s="57" t="b">
        <f>IFERROR(IF(X21, AND(FIND(UPPER(C3), UPPER(X19)) &gt; 0, NOT(EQ(C3,""))), AND(FIND(UPPER(M3), UPPER(X19)) &gt; 0, NOT(EQ(M3,"")))), FALSE)</f>
        <v>0</v>
      </c>
      <c r="Y24" s="57" t="b">
        <f>IFERROR(IF(Y21, AND(FIND(UPPER(C3), UPPER(Y19)) &gt; 0, NOT(EQ(C3,""))), AND(FIND(UPPER(M3), UPPER(Y19)) &gt; 0, NOT(EQ(M3,"")))), FALSE)</f>
        <v>0</v>
      </c>
      <c r="Z24" s="46"/>
      <c r="AA24" s="46"/>
    </row>
    <row r="25">
      <c r="C25" s="67"/>
      <c r="D25" s="61"/>
      <c r="E25" s="60"/>
      <c r="F25" s="59"/>
      <c r="G25" s="60"/>
      <c r="H25" s="59"/>
      <c r="I25" s="62" t="s">
        <v>59</v>
      </c>
      <c r="J25" s="63">
        <f t="shared" si="8"/>
        <v>0</v>
      </c>
      <c r="K25" s="64">
        <f t="shared" si="3"/>
        <v>335</v>
      </c>
      <c r="L25" s="25"/>
      <c r="M25" s="66"/>
      <c r="N25" s="59"/>
      <c r="O25" s="66"/>
      <c r="P25" s="59"/>
      <c r="Q25" s="66"/>
      <c r="R25" s="59"/>
      <c r="S25" s="62" t="s">
        <v>59</v>
      </c>
      <c r="T25" s="63">
        <f t="shared" si="9"/>
        <v>0</v>
      </c>
      <c r="U25" s="64">
        <f t="shared" si="4"/>
        <v>35</v>
      </c>
      <c r="V25" s="57" t="b">
        <f t="shared" ref="V25:W25" si="10">IFERROR(IF(V21, AND(FIND(UPPER(D3), UPPER(V19)) &gt; 0, NOT(EQ(D3,""))), AND(FIND(UPPER(N3), UPPER(V19)) &gt; 0, NOT(EQ(N3,"")))), FALSE)</f>
        <v>0</v>
      </c>
      <c r="W25" s="57" t="b">
        <f t="shared" si="10"/>
        <v>0</v>
      </c>
      <c r="X25" s="57" t="b">
        <f>IFERROR(IF(X21, AND(FIND(UPPER(D3), UPPER(X19)) &gt; 0, NOT(EQ(D3,""))), AND(FIND(UPPER(N3), UPPER(X19)) &gt; 0, NOT(EQ(N3,"")))), FALSE)</f>
        <v>0</v>
      </c>
      <c r="Y25" s="57" t="b">
        <f>IFERROR(IF(Y21, AND(FIND(UPPER(D3), UPPER(Y19)) &gt; 0, NOT(EQ(D3,""))), AND(FIND(UPPER(N3), UPPER(Y19)) &gt; 0, NOT(EQ(N3,"")))), FALSE)</f>
        <v>0</v>
      </c>
      <c r="Z25" s="46"/>
      <c r="AA25" s="46"/>
    </row>
    <row r="26">
      <c r="C26" s="67"/>
      <c r="D26" s="59"/>
      <c r="E26" s="60"/>
      <c r="F26" s="59"/>
      <c r="G26" s="60"/>
      <c r="H26" s="59"/>
      <c r="I26" s="62" t="s">
        <v>59</v>
      </c>
      <c r="J26" s="63">
        <f t="shared" si="8"/>
        <v>0</v>
      </c>
      <c r="K26" s="64">
        <f t="shared" si="3"/>
        <v>335</v>
      </c>
      <c r="L26" s="25"/>
      <c r="M26" s="66"/>
      <c r="N26" s="59"/>
      <c r="O26" s="66"/>
      <c r="P26" s="59"/>
      <c r="Q26" s="66"/>
      <c r="R26" s="59"/>
      <c r="S26" s="62" t="s">
        <v>59</v>
      </c>
      <c r="T26" s="63">
        <f t="shared" si="9"/>
        <v>0</v>
      </c>
      <c r="U26" s="64">
        <f t="shared" si="4"/>
        <v>35</v>
      </c>
      <c r="V26" s="57" t="b">
        <f t="shared" ref="V26:W26" si="11">IFERROR(IF(V21, AND(FIND(UPPER(E3), UPPER(V19)) &gt; 0, NOT(EQ(E3,""))), AND(FIND(UPPER(O3), UPPER(V19)) &gt; 0, NOT(EQ(O3,"")))), FALSE)</f>
        <v>0</v>
      </c>
      <c r="W26" s="57" t="b">
        <f t="shared" si="11"/>
        <v>0</v>
      </c>
      <c r="X26" s="57" t="b">
        <f>IFERROR(IF(X21, AND(FIND(UPPER(E3), UPPER(X19)) &gt; 0, NOT(EQ(E3,""))), AND(FIND(UPPER(O3), UPPER(X19)) &gt; 0, NOT(EQ(O3,"")))), FALSE)</f>
        <v>0</v>
      </c>
      <c r="Y26" s="57" t="b">
        <f>IFERROR(IF(Y21, AND(FIND(UPPER(E3), UPPER(Y19)) &gt; 0, NOT(EQ(E3,""))), AND(FIND(UPPER(O3), UPPER(Y19)) &gt; 0, NOT(EQ(O3,"")))), FALSE)</f>
        <v>0</v>
      </c>
      <c r="Z26" s="46"/>
      <c r="AA26" s="46"/>
    </row>
    <row r="27">
      <c r="C27" s="67"/>
      <c r="D27" s="59"/>
      <c r="E27" s="60"/>
      <c r="F27" s="59"/>
      <c r="G27" s="60"/>
      <c r="H27" s="59"/>
      <c r="I27" s="62" t="s">
        <v>59</v>
      </c>
      <c r="J27" s="63">
        <f t="shared" si="8"/>
        <v>0</v>
      </c>
      <c r="K27" s="64">
        <f t="shared" si="3"/>
        <v>335</v>
      </c>
      <c r="L27" s="69"/>
      <c r="M27" s="66"/>
      <c r="N27" s="59"/>
      <c r="O27" s="66"/>
      <c r="P27" s="59"/>
      <c r="Q27" s="66"/>
      <c r="R27" s="59"/>
      <c r="S27" s="62" t="s">
        <v>59</v>
      </c>
      <c r="T27" s="63">
        <f t="shared" si="9"/>
        <v>0</v>
      </c>
      <c r="U27" s="64">
        <f t="shared" si="4"/>
        <v>35</v>
      </c>
      <c r="V27" s="57" t="b">
        <f t="shared" ref="V27:W27" si="12">IFERROR(IF(V21, AND(FIND(UPPER(F3), UPPER(V19)) &gt; 0, NOT(EQ(F3,""))), AND(FIND(UPPER(P3), UPPER(V19)) &gt; 0, NOT(EQ(P3,"")))), FALSE)</f>
        <v>0</v>
      </c>
      <c r="W27" s="57" t="b">
        <f t="shared" si="12"/>
        <v>0</v>
      </c>
      <c r="X27" s="57" t="b">
        <f>IFERROR(IF(X21, AND(FIND(UPPER(F3), UPPER(X19)) &gt; 0, NOT(EQ(F3,""))), AND(FIND(UPPER(P3), UPPER(X19)) &gt; 0, NOT(EQ(P3,"")))), FALSE)</f>
        <v>0</v>
      </c>
      <c r="Y27" s="57" t="b">
        <f>IFERROR(IF(Y21, AND(FIND(UPPER(F3), UPPER(Y19)) &gt; 0, NOT(EQ(F3,""))), AND(FIND(UPPER(P3), UPPER(Y19)) &gt; 0, NOT(EQ(P3,"")))), FALSE)</f>
        <v>0</v>
      </c>
      <c r="Z27" s="46"/>
      <c r="AA27" s="46"/>
    </row>
    <row r="28">
      <c r="B28" s="70">
        <v>15.0</v>
      </c>
      <c r="C28" s="71">
        <f t="shared" ref="C28:H28" si="13">COUNTIF(C4:C27, "=15")</f>
        <v>0</v>
      </c>
      <c r="D28" s="72">
        <f t="shared" si="13"/>
        <v>1</v>
      </c>
      <c r="E28" s="71">
        <f t="shared" si="13"/>
        <v>2</v>
      </c>
      <c r="F28" s="72">
        <f t="shared" si="13"/>
        <v>1</v>
      </c>
      <c r="G28" s="71">
        <f t="shared" si="13"/>
        <v>0</v>
      </c>
      <c r="H28" s="72">
        <f t="shared" si="13"/>
        <v>0</v>
      </c>
      <c r="I28" s="73" t="s">
        <v>61</v>
      </c>
      <c r="J28" s="74"/>
      <c r="K28" s="75" t="s">
        <v>62</v>
      </c>
      <c r="L28" s="76">
        <v>15.0</v>
      </c>
      <c r="M28" s="77">
        <f t="shared" ref="M28:R28" si="14">COUNTIF(M4:M27, "=15")</f>
        <v>0</v>
      </c>
      <c r="N28" s="78">
        <f t="shared" si="14"/>
        <v>1</v>
      </c>
      <c r="O28" s="77">
        <f t="shared" si="14"/>
        <v>0</v>
      </c>
      <c r="P28" s="78">
        <f t="shared" si="14"/>
        <v>0</v>
      </c>
      <c r="Q28" s="77">
        <f t="shared" si="14"/>
        <v>0</v>
      </c>
      <c r="R28" s="78">
        <f t="shared" si="14"/>
        <v>0</v>
      </c>
      <c r="S28" s="79" t="s">
        <v>61</v>
      </c>
      <c r="T28" s="74"/>
      <c r="U28" s="80" t="s">
        <v>62</v>
      </c>
      <c r="V28" s="57" t="b">
        <f t="shared" ref="V28:W28" si="15">IFERROR(IF(V21, AND(FIND(UPPER(G3), UPPER(V19)) &gt; 0, NOT(EQ(G3,""))), AND(FIND(UPPER(Q3), UPPER(V19)) &gt; 0, NOT(EQ(Q3,"")))), FALSE)</f>
        <v>0</v>
      </c>
      <c r="W28" s="57" t="b">
        <f t="shared" si="15"/>
        <v>0</v>
      </c>
      <c r="X28" s="57" t="b">
        <f>IFERROR(IF(X21, AND(FIND(UPPER(G3), UPPER(X19)) &gt; 0, NOT(EQ(G3,""))), AND(FIND(UPPER(Q3), UPPER(X19)) &gt; 0, NOT(EQ(Q3,"")))), FALSE)</f>
        <v>0</v>
      </c>
      <c r="Y28" s="57" t="b">
        <f>IFERROR(IF(Y21, AND(FIND(UPPER(G3), UPPER(Y19)) &gt; 0, NOT(EQ(G3,""))), AND(FIND(UPPER(Q3), UPPER(Y19)) &gt; 0, NOT(EQ(Q3,"")))), FALSE)</f>
        <v>0</v>
      </c>
      <c r="Z28" s="46"/>
      <c r="AA28" s="46"/>
    </row>
    <row r="29">
      <c r="B29" s="81">
        <v>10.0</v>
      </c>
      <c r="C29" s="82">
        <f t="shared" ref="C29:H29" si="16">COUNTIF(C4:C27, "=10")</f>
        <v>1</v>
      </c>
      <c r="D29" s="83">
        <f t="shared" si="16"/>
        <v>3</v>
      </c>
      <c r="E29" s="82">
        <f t="shared" si="16"/>
        <v>2</v>
      </c>
      <c r="F29" s="83">
        <f t="shared" si="16"/>
        <v>3</v>
      </c>
      <c r="G29" s="82">
        <f t="shared" si="16"/>
        <v>0</v>
      </c>
      <c r="H29" s="83">
        <f t="shared" si="16"/>
        <v>0</v>
      </c>
      <c r="I29" s="84"/>
      <c r="J29" s="25"/>
      <c r="K29" s="85"/>
      <c r="L29" s="86">
        <v>10.0</v>
      </c>
      <c r="M29" s="87">
        <f t="shared" ref="M29:R29" si="17">COUNTIF(M4:M27, "=10")</f>
        <v>1</v>
      </c>
      <c r="N29" s="88">
        <f t="shared" si="17"/>
        <v>0</v>
      </c>
      <c r="O29" s="87">
        <f t="shared" si="17"/>
        <v>0</v>
      </c>
      <c r="P29" s="88">
        <f t="shared" si="17"/>
        <v>0</v>
      </c>
      <c r="Q29" s="87">
        <f t="shared" si="17"/>
        <v>0</v>
      </c>
      <c r="R29" s="88">
        <f t="shared" si="17"/>
        <v>0</v>
      </c>
      <c r="S29" s="84"/>
      <c r="T29" s="25"/>
      <c r="U29" s="85"/>
      <c r="V29" s="57" t="b">
        <f>IFERROR(IF(V21, AND(FIND(UPPER(H3), UPPER(V19)) &gt; 0, NOT(EQ(H3,""))), AND(FIND(UPPER(R3), UPPER(V19)) &gt; 0, NOT(EQ(R3,"")))), FALSE)</f>
        <v>0</v>
      </c>
      <c r="W29" s="57" t="b">
        <f>IFERROR(IF(W21, AND(FIND(UPPER(C3), UPPER(W19)) &gt; 0, NOT(EQ(C3,""))), AND(FIND(UPPER(M3), UPPER(W19)) &gt; 0, NOT(EQ(M3,"")))), FALSE)</f>
        <v>0</v>
      </c>
      <c r="X29" s="57" t="b">
        <f>IFERROR(IF(X21, AND(FIND(UPPER(H3), UPPER(X19)) &gt; 0, NOT(EQ(H3,""))), AND(FIND(UPPER(R3), UPPER(X19)) &gt; 0, NOT(EQ(R3,"")))), FALSE)</f>
        <v>0</v>
      </c>
      <c r="Y29" s="57" t="b">
        <f>IFERROR(IF(Y21, AND(FIND(UPPER(H3), UPPER(Y19)) &gt; 0, NOT(EQ(H3,""))), AND(FIND(UPPER(R3), UPPER(Y19)) &gt; 0, NOT(EQ(R3,"")))), FALSE)</f>
        <v>0</v>
      </c>
      <c r="Z29" s="46"/>
      <c r="AA29" s="46"/>
    </row>
    <row r="30">
      <c r="B30" s="81">
        <v>-5.0</v>
      </c>
      <c r="C30" s="89">
        <f t="shared" ref="C30:H30" si="18">COUNTIF(C4:C27, "=-5")</f>
        <v>0</v>
      </c>
      <c r="D30" s="90">
        <f t="shared" si="18"/>
        <v>2</v>
      </c>
      <c r="E30" s="89">
        <f t="shared" si="18"/>
        <v>1</v>
      </c>
      <c r="F30" s="90">
        <f t="shared" si="18"/>
        <v>0</v>
      </c>
      <c r="G30" s="89">
        <f t="shared" si="18"/>
        <v>0</v>
      </c>
      <c r="H30" s="90">
        <f t="shared" si="18"/>
        <v>0</v>
      </c>
      <c r="I30" s="91">
        <f>sum(I4:I23)</f>
        <v>200</v>
      </c>
      <c r="J30" s="25"/>
      <c r="K30" s="92">
        <f>IFERROR(I30/SUM(C28:G29), 0)</f>
        <v>15.38461538</v>
      </c>
      <c r="L30" s="86">
        <v>-5.0</v>
      </c>
      <c r="M30" s="93">
        <f t="shared" ref="M30:R30" si="19">COUNTIF(M4:M27, "=-5")</f>
        <v>0</v>
      </c>
      <c r="N30" s="94">
        <f t="shared" si="19"/>
        <v>1</v>
      </c>
      <c r="O30" s="93">
        <f t="shared" si="19"/>
        <v>0</v>
      </c>
      <c r="P30" s="94">
        <f t="shared" si="19"/>
        <v>1</v>
      </c>
      <c r="Q30" s="93">
        <f t="shared" si="19"/>
        <v>0</v>
      </c>
      <c r="R30" s="94">
        <f t="shared" si="19"/>
        <v>0</v>
      </c>
      <c r="S30" s="95">
        <f>sum(S4:S23)</f>
        <v>20</v>
      </c>
      <c r="T30" s="25"/>
      <c r="U30" s="96">
        <f>IFERROR(S30/SUM(M28:Q29), 0)</f>
        <v>10</v>
      </c>
      <c r="V30" s="57" t="b">
        <f t="shared" ref="V30:W30" si="20">AND(IF(AND(COUNTIF(V24:V29, TRUE)=2, IFERROR(FIND("-", V19) &gt; 0, TRUE)), TRUE, IF(AND(COUNTIF(V24:V29, TRUE)=1, IFERROR(FIND("-", V19) &gt; 0, FALSE)), TRUE, FALSE)),V23)</f>
        <v>0</v>
      </c>
      <c r="W30" s="57" t="b">
        <f t="shared" si="20"/>
        <v>0</v>
      </c>
      <c r="X30" s="57" t="b">
        <f>AND(IF(AND(COUNTIF(X24:X29, TRUE)= 2, IFERROR(FIND("-", X19) &gt; 0, TRUE)), TRUE, IF(AND(COUNTIF(X24:X29,TRUE)=1, IFERROR(FIND("-", X19) &gt; 0, FALSE)), TRUE, FALSE)),X23)</f>
        <v>0</v>
      </c>
      <c r="Y30" s="57" t="b">
        <f>AND(IF(AND(COUNTIF(Y24:Y29, TRUE)=2, IFERROR(FIND("-", Y19) &gt; 0, TRUE)), TRUE, IF(AND(COUNTIF(Y24:Y29, TRUE)=1, IFERROR(FIND("-", Y19) &gt; 0, FALSE)), TRUE, FALSE)),Y23)</f>
        <v>0</v>
      </c>
      <c r="Z30" s="46"/>
      <c r="AA30" s="46"/>
    </row>
    <row r="31">
      <c r="B31" s="97" t="s">
        <v>63</v>
      </c>
      <c r="C31" s="98">
        <f t="shared" ref="C31:H31" si="21">(C28*15)+(C29*10)+(C30*-5)</f>
        <v>10</v>
      </c>
      <c r="D31" s="99">
        <f t="shared" si="21"/>
        <v>35</v>
      </c>
      <c r="E31" s="98">
        <f t="shared" si="21"/>
        <v>45</v>
      </c>
      <c r="F31" s="99">
        <f t="shared" si="21"/>
        <v>45</v>
      </c>
      <c r="G31" s="98">
        <f t="shared" si="21"/>
        <v>0</v>
      </c>
      <c r="H31" s="99">
        <f t="shared" si="21"/>
        <v>0</v>
      </c>
      <c r="I31" s="100"/>
      <c r="J31" s="69"/>
      <c r="K31" s="101"/>
      <c r="L31" s="102" t="s">
        <v>63</v>
      </c>
      <c r="M31" s="103">
        <f t="shared" ref="M31:R31" si="22">(M28*15)+(M29*10)+(M30*-5)</f>
        <v>10</v>
      </c>
      <c r="N31" s="99">
        <f t="shared" si="22"/>
        <v>10</v>
      </c>
      <c r="O31" s="103">
        <f t="shared" si="22"/>
        <v>0</v>
      </c>
      <c r="P31" s="99">
        <f t="shared" si="22"/>
        <v>-5</v>
      </c>
      <c r="Q31" s="103">
        <f t="shared" si="22"/>
        <v>0</v>
      </c>
      <c r="R31" s="99">
        <f t="shared" si="22"/>
        <v>0</v>
      </c>
      <c r="S31" s="100"/>
      <c r="T31" s="69"/>
      <c r="U31" s="101"/>
      <c r="V31" s="40" t="b">
        <f t="shared" ref="V31:Y31" si="23">OR(AND(V30, OR(V21,V22)),V20)</f>
        <v>1</v>
      </c>
      <c r="W31" s="40" t="b">
        <f t="shared" si="23"/>
        <v>1</v>
      </c>
      <c r="X31" s="40" t="b">
        <f t="shared" si="23"/>
        <v>1</v>
      </c>
      <c r="Y31" s="40" t="b">
        <f t="shared" si="23"/>
        <v>1</v>
      </c>
      <c r="Z31" s="46"/>
      <c r="AA31" s="46"/>
    </row>
    <row r="32">
      <c r="B32" s="104">
        <f>K27</f>
        <v>335</v>
      </c>
      <c r="I32" s="25"/>
      <c r="J32" s="105" t="s">
        <v>64</v>
      </c>
      <c r="K32" s="106"/>
      <c r="L32" s="106"/>
      <c r="M32" s="74"/>
      <c r="N32" s="107">
        <f>U27</f>
        <v>35</v>
      </c>
      <c r="O32" s="106"/>
      <c r="P32" s="106"/>
      <c r="Q32" s="106"/>
      <c r="R32" s="106"/>
      <c r="S32" s="106"/>
      <c r="T32" s="106"/>
      <c r="U32" s="74"/>
      <c r="V32" s="40" t="b">
        <f>AND(V31:Y31)</f>
        <v>1</v>
      </c>
      <c r="W32" s="40"/>
      <c r="X32" s="40"/>
      <c r="Y32" s="40"/>
      <c r="Z32" s="46"/>
      <c r="AA32" s="46"/>
    </row>
    <row r="33">
      <c r="B33" s="84"/>
      <c r="I33" s="25"/>
      <c r="J33" s="84"/>
      <c r="M33" s="25"/>
      <c r="N33" s="84"/>
      <c r="U33" s="25"/>
      <c r="V33" s="40"/>
      <c r="W33" s="40"/>
      <c r="X33" s="40"/>
      <c r="Y33" s="40"/>
      <c r="Z33" s="46"/>
      <c r="AA33" s="46"/>
    </row>
    <row r="34">
      <c r="B34" s="100"/>
      <c r="C34" s="109"/>
      <c r="D34" s="109"/>
      <c r="E34" s="109"/>
      <c r="F34" s="109"/>
      <c r="G34" s="109"/>
      <c r="H34" s="109"/>
      <c r="I34" s="69"/>
      <c r="J34" s="100"/>
      <c r="K34" s="109"/>
      <c r="L34" s="109"/>
      <c r="M34" s="69"/>
      <c r="N34" s="100"/>
      <c r="O34" s="109"/>
      <c r="P34" s="109"/>
      <c r="Q34" s="109"/>
      <c r="R34" s="109"/>
      <c r="S34" s="109"/>
      <c r="T34" s="109"/>
      <c r="U34" s="69"/>
      <c r="V34" s="46"/>
      <c r="W34" s="46"/>
      <c r="X34" s="46"/>
      <c r="Y34" s="46"/>
      <c r="Z34" s="46"/>
      <c r="AA34" s="46"/>
    </row>
    <row r="35">
      <c r="V35" s="46"/>
      <c r="W35" s="46"/>
      <c r="X35" s="46"/>
      <c r="Y35" s="46"/>
      <c r="Z35" s="46"/>
      <c r="AA35" s="40"/>
    </row>
    <row r="36">
      <c r="V36" s="46"/>
      <c r="W36" s="46"/>
      <c r="X36" s="46"/>
      <c r="Y36" s="46"/>
      <c r="Z36" s="46"/>
      <c r="AA36" s="40"/>
    </row>
    <row r="37">
      <c r="C37" s="156"/>
      <c r="V37" s="46"/>
      <c r="W37" s="46"/>
      <c r="X37" s="46"/>
      <c r="Y37" s="46"/>
      <c r="Z37" s="46"/>
      <c r="AA37" s="40"/>
    </row>
    <row r="38">
      <c r="C38" s="111"/>
      <c r="V38" s="46"/>
      <c r="W38" s="46"/>
      <c r="X38" s="46"/>
      <c r="Y38" s="46"/>
      <c r="Z38" s="46"/>
      <c r="AA38" s="40"/>
    </row>
    <row r="39">
      <c r="V39" s="46"/>
      <c r="W39" s="46"/>
      <c r="X39" s="46"/>
      <c r="Y39" s="46"/>
      <c r="Z39" s="46"/>
      <c r="AA39" s="40"/>
    </row>
    <row r="40">
      <c r="V40" s="46"/>
      <c r="W40" s="46"/>
      <c r="X40" s="46"/>
      <c r="Y40" s="112"/>
      <c r="Z40" s="112"/>
      <c r="AA40" s="40"/>
    </row>
    <row r="41">
      <c r="V41" s="46"/>
      <c r="W41" s="46"/>
      <c r="X41" s="46"/>
      <c r="Y41" s="46"/>
      <c r="Z41" s="46"/>
      <c r="AA41" s="40"/>
    </row>
    <row r="42">
      <c r="V42" s="46"/>
      <c r="W42" s="46"/>
      <c r="X42" s="46"/>
      <c r="Y42" s="46"/>
      <c r="Z42" s="46"/>
      <c r="AA42" s="40"/>
    </row>
    <row r="43">
      <c r="V43" s="46"/>
      <c r="W43" s="46"/>
      <c r="X43" s="46"/>
      <c r="Y43" s="46"/>
      <c r="Z43" s="46"/>
      <c r="AA43" s="40"/>
    </row>
    <row r="44">
      <c r="C44" s="113"/>
      <c r="F44" s="113"/>
      <c r="G44" s="113"/>
      <c r="V44" s="114"/>
      <c r="W44" s="46"/>
      <c r="X44" s="46"/>
      <c r="Y44" s="46"/>
      <c r="Z44" s="46"/>
      <c r="AA44" s="40"/>
    </row>
    <row r="45">
      <c r="C45" s="113"/>
      <c r="F45" s="113"/>
      <c r="G45" s="113"/>
      <c r="V45" s="40"/>
      <c r="W45" s="40"/>
      <c r="X45" s="40"/>
      <c r="Y45" s="40"/>
      <c r="Z45" s="40"/>
      <c r="AA45" s="40"/>
    </row>
    <row r="46">
      <c r="C46" s="115" t="s">
        <v>66</v>
      </c>
      <c r="F46" s="113"/>
      <c r="G46" s="113"/>
      <c r="V46" s="40"/>
      <c r="W46" s="40"/>
      <c r="X46" s="40"/>
      <c r="Y46" s="40"/>
      <c r="Z46" s="40"/>
      <c r="AA46" s="40"/>
    </row>
    <row r="47">
      <c r="C47" s="116"/>
      <c r="V47" s="40"/>
      <c r="W47" s="40"/>
      <c r="X47" s="40"/>
      <c r="Y47" s="40"/>
      <c r="Z47" s="40"/>
      <c r="AA47" s="40"/>
    </row>
    <row r="48">
      <c r="V48" s="40"/>
      <c r="W48" s="40"/>
      <c r="X48" s="40"/>
      <c r="Y48" s="40"/>
      <c r="Z48" s="40"/>
      <c r="AA48" s="40"/>
    </row>
    <row r="49">
      <c r="V49" s="40"/>
      <c r="W49" s="40"/>
      <c r="X49" s="40"/>
      <c r="Y49" s="40"/>
      <c r="Z49" s="40"/>
      <c r="AA49" s="40"/>
    </row>
    <row r="50">
      <c r="V50" s="40"/>
      <c r="W50" s="40"/>
      <c r="X50" s="40"/>
      <c r="Y50" s="40"/>
      <c r="Z50" s="40"/>
      <c r="AA50" s="40"/>
    </row>
    <row r="51">
      <c r="V51" s="40"/>
      <c r="W51" s="40"/>
      <c r="X51" s="40"/>
      <c r="Y51" s="40"/>
      <c r="Z51" s="40"/>
      <c r="AA51" s="40"/>
    </row>
    <row r="52">
      <c r="V52" s="40"/>
      <c r="W52" s="40"/>
      <c r="X52" s="40"/>
      <c r="Y52" s="40"/>
      <c r="Z52" s="40"/>
      <c r="AA52" s="40"/>
    </row>
    <row r="53">
      <c r="C53" s="113"/>
      <c r="F53" s="113"/>
      <c r="G53" s="113"/>
      <c r="V53" s="40"/>
      <c r="W53" s="40"/>
      <c r="X53" s="40"/>
      <c r="Y53" s="40"/>
      <c r="Z53" s="40"/>
      <c r="AA53" s="40"/>
    </row>
    <row r="54">
      <c r="C54" s="113"/>
      <c r="F54" s="113"/>
      <c r="G54" s="113"/>
      <c r="V54" s="40"/>
      <c r="W54" s="40"/>
      <c r="X54" s="40"/>
      <c r="Y54" s="40"/>
      <c r="Z54" s="40"/>
      <c r="AA54" s="40"/>
    </row>
  </sheetData>
  <mergeCells count="18">
    <mergeCell ref="I30:J31"/>
    <mergeCell ref="B32:I34"/>
    <mergeCell ref="C38:T43"/>
    <mergeCell ref="C47:T52"/>
    <mergeCell ref="J32:M34"/>
    <mergeCell ref="N32:U34"/>
    <mergeCell ref="U30:U31"/>
    <mergeCell ref="S30:T31"/>
    <mergeCell ref="K28:K29"/>
    <mergeCell ref="S28:T29"/>
    <mergeCell ref="K30:K31"/>
    <mergeCell ref="G1:Q1"/>
    <mergeCell ref="C2:K2"/>
    <mergeCell ref="L2:L3"/>
    <mergeCell ref="M2:U2"/>
    <mergeCell ref="L24:L27"/>
    <mergeCell ref="I28:J29"/>
    <mergeCell ref="U28:U29"/>
  </mergeCells>
  <conditionalFormatting sqref="C4:U23">
    <cfRule type="expression" dxfId="0" priority="1">
      <formula>$I:$I&lt;&gt;""</formula>
    </cfRule>
  </conditionalFormatting>
  <conditionalFormatting sqref="C4:U23">
    <cfRule type="expression" dxfId="0" priority="2">
      <formula>$S:$S&lt;&gt;""</formula>
    </cfRule>
  </conditionalFormatting>
  <conditionalFormatting sqref="A1">
    <cfRule type="notContainsBlanks" dxfId="1" priority="3">
      <formula>LEN(TRIM(A1))&gt;0</formula>
    </cfRule>
  </conditionalFormatting>
  <conditionalFormatting sqref="X12">
    <cfRule type="notContainsBlanks" dxfId="1" priority="4">
      <formula>LEN(TRIM(X12))&gt;0</formula>
    </cfRule>
  </conditionalFormatting>
  <conditionalFormatting sqref="C38:T43">
    <cfRule type="expression" dxfId="2" priority="5">
      <formula>NOT(V32)</formula>
    </cfRule>
  </conditionalFormatting>
  <conditionalFormatting sqref="C37">
    <cfRule type="expression" dxfId="3" priority="6">
      <formula>NOT(V32)</formula>
    </cfRule>
  </conditionalFormatting>
  <dataValidations>
    <dataValidation type="list" allowBlank="1" showErrorMessage="1" sqref="C3:H3">
      <formula1>'ROUND 3'!$W$5:$W$11</formula1>
    </dataValidation>
    <dataValidation type="list" allowBlank="1" showErrorMessage="1" sqref="I4:I23 S4:S23">
      <formula1>"0,10,20,30"</formula1>
    </dataValidation>
    <dataValidation type="list" allowBlank="1" showErrorMessage="1" sqref="C4:H27 M4:R27">
      <formula1>"-5,10,15"</formula1>
    </dataValidation>
    <dataValidation type="list" allowBlank="1" showErrorMessage="1" sqref="M3:R3">
      <formula1>'ROUND 3'!$X$5:$X$11</formula1>
    </dataValidation>
    <dataValidation type="list" allowBlank="1" showErrorMessage="1" sqref="C2 M2">
      <formula1>INSTRUCTIONS!$A$28:$AJ$28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1" max="1" width="1.29"/>
    <col customWidth="1" min="2" max="2" width="5.0"/>
    <col customWidth="1" min="3" max="7" width="8.71"/>
    <col customWidth="1" min="8" max="8" width="8.43"/>
    <col customWidth="1" min="9" max="9" width="9.14"/>
    <col customWidth="1" min="10" max="10" width="8.29"/>
    <col customWidth="1" min="11" max="11" width="8.0"/>
    <col customWidth="1" min="12" max="12" width="8.86"/>
    <col customWidth="1" min="13" max="13" width="8.71"/>
    <col customWidth="1" min="14" max="14" width="8.43"/>
    <col customWidth="1" min="15" max="18" width="8.71"/>
    <col customWidth="1" min="19" max="19" width="8.86"/>
    <col customWidth="1" min="20" max="20" width="8.0"/>
    <col customWidth="1" min="21" max="21" width="8.43"/>
    <col customWidth="1" min="22" max="22" width="21.57"/>
  </cols>
  <sheetData>
    <row r="1" ht="18.75" customHeight="1">
      <c r="C1" s="2"/>
      <c r="D1" s="2"/>
      <c r="E1" s="2"/>
      <c r="F1" s="2"/>
      <c r="G1" s="5" t="s">
        <v>67</v>
      </c>
      <c r="R1" s="2"/>
      <c r="S1" s="2"/>
      <c r="T1" s="2"/>
      <c r="U1" s="2"/>
      <c r="V1" s="7"/>
      <c r="W1" s="7"/>
      <c r="X1" s="7"/>
      <c r="Y1" s="7"/>
      <c r="Z1" s="7"/>
    </row>
    <row r="2" ht="18.75" customHeight="1">
      <c r="C2" s="9" t="s">
        <v>5</v>
      </c>
      <c r="D2" s="11"/>
      <c r="E2" s="11"/>
      <c r="F2" s="11"/>
      <c r="G2" s="11"/>
      <c r="H2" s="11"/>
      <c r="I2" s="11"/>
      <c r="J2" s="11"/>
      <c r="K2" s="12"/>
      <c r="L2" s="15" t="s">
        <v>9</v>
      </c>
      <c r="M2" s="17" t="s">
        <v>12</v>
      </c>
      <c r="N2" s="11"/>
      <c r="O2" s="11"/>
      <c r="P2" s="11"/>
      <c r="Q2" s="11"/>
      <c r="R2" s="11"/>
      <c r="S2" s="11"/>
      <c r="T2" s="11"/>
      <c r="U2" s="12"/>
      <c r="V2" s="7"/>
      <c r="W2" s="7"/>
      <c r="X2" s="7"/>
      <c r="Y2" s="7"/>
      <c r="Z2" s="7"/>
    </row>
    <row r="3">
      <c r="C3" s="18" t="s">
        <v>43</v>
      </c>
      <c r="D3" s="20" t="s">
        <v>45</v>
      </c>
      <c r="E3" s="22" t="s">
        <v>44</v>
      </c>
      <c r="F3" s="20" t="s">
        <v>46</v>
      </c>
      <c r="G3" s="22" t="s">
        <v>47</v>
      </c>
      <c r="H3" s="20"/>
      <c r="I3" s="23" t="s">
        <v>24</v>
      </c>
      <c r="J3" s="24" t="s">
        <v>27</v>
      </c>
      <c r="K3" s="23" t="s">
        <v>29</v>
      </c>
      <c r="L3" s="25"/>
      <c r="M3" s="26" t="s">
        <v>16</v>
      </c>
      <c r="N3" s="28" t="s">
        <v>20</v>
      </c>
      <c r="O3" s="26" t="s">
        <v>23</v>
      </c>
      <c r="P3" s="28" t="s">
        <v>18</v>
      </c>
      <c r="Q3" s="26" t="s">
        <v>22</v>
      </c>
      <c r="R3" s="30"/>
      <c r="S3" s="23" t="s">
        <v>24</v>
      </c>
      <c r="T3" s="24" t="s">
        <v>27</v>
      </c>
      <c r="U3" s="23" t="s">
        <v>29</v>
      </c>
      <c r="V3" s="7"/>
      <c r="W3" s="7"/>
      <c r="X3" s="7"/>
      <c r="Y3" s="7"/>
      <c r="Z3" s="7"/>
    </row>
    <row r="4">
      <c r="C4" s="31"/>
      <c r="D4" s="32"/>
      <c r="E4" s="32"/>
      <c r="F4" s="32"/>
      <c r="G4" s="32"/>
      <c r="H4" s="32"/>
      <c r="I4" s="32"/>
      <c r="J4" s="37">
        <f t="shared" ref="J4:J23" si="1">IF(AND(COUNTA(C4:H4)=0,I4&gt;0), "BON.ERR", IF(COUNTA(C4:H4)&lt;=1, IF(AND(OR(C4&lt;0, D4&lt;0, E4&lt;0, F4&lt;0, G4&lt;0, H4&lt;0), I4&gt;0), "BON.ERR", SUM(C4:I4)), "TEAM.ERR"))</f>
        <v>0</v>
      </c>
      <c r="K4" s="38">
        <f>if(sum(sum(C4:H4), M4:R4)&lt;-6, "NEG.ERR", if(and(sum(C4:I4)&gt;0, sum(M4:S4)&gt;0), "ERROR", sum(J4)))</f>
        <v>0</v>
      </c>
      <c r="L4" s="39">
        <v>1.0</v>
      </c>
      <c r="M4" s="32"/>
      <c r="N4" s="32"/>
      <c r="O4" s="32"/>
      <c r="P4" s="37">
        <v>10.0</v>
      </c>
      <c r="Q4" s="32"/>
      <c r="R4" s="32"/>
      <c r="S4" s="37">
        <v>10.0</v>
      </c>
      <c r="T4" s="37">
        <f t="shared" ref="T4:T23" si="2">IF(AND(COUNTA(M4:R4)=0,S4&gt;0), "BON.ERR", IF(COUNTA(M4:R4)&lt;=1, IF(AND(OR(M4&lt;0, N4&lt;0, O4&lt;0, P4&lt;0, Q4&lt;0, R4&lt;0), S4&gt;0), "BON.ERR", SUM(M4:S4)), "TEAM.ERR"))</f>
        <v>20</v>
      </c>
      <c r="U4" s="38">
        <f>if(sum(sum(C4:H4), M4:R4)&lt;-6, "NEG.ERR", if(and(sum(C4:H4)&gt;0, sum(M4:R4)&gt;0), "ERROR", sum(T4)))</f>
        <v>20</v>
      </c>
      <c r="V4" s="40"/>
      <c r="W4" s="41" t="str">
        <f>IFERROR(__xludf.DUMMYFUNCTION("filter(INSTRUCTIONS!A28:AJ39, INSTRUCTIONS!A28:AJ28=C2)"),"BASIS INDEPENDENT MCLEAN A")</f>
        <v>BASIS INDEPENDENT MCLEAN A</v>
      </c>
      <c r="X4" s="41" t="str">
        <f>IFERROR(__xludf.DUMMYFUNCTION("filter(INSTRUCTIONS!A28:AJ39, INSTRUCTIONS!A28:AJ28=M2)"),"LONGFELLOW B")</f>
        <v>LONGFELLOW B</v>
      </c>
      <c r="Y4" s="41"/>
      <c r="Z4" s="40"/>
      <c r="AA4" s="40"/>
    </row>
    <row r="5">
      <c r="C5" s="31"/>
      <c r="D5" s="37">
        <v>10.0</v>
      </c>
      <c r="E5" s="32"/>
      <c r="F5" s="32"/>
      <c r="G5" s="32"/>
      <c r="H5" s="32"/>
      <c r="I5" s="37">
        <v>20.0</v>
      </c>
      <c r="J5" s="37">
        <f t="shared" si="1"/>
        <v>30</v>
      </c>
      <c r="K5" s="38">
        <f t="shared" ref="K5:K27" si="3">if(sum(sum(C5:H5), M5:R5)&lt;-6, "NEG.ERR", if(and(sum(C5:I5)&gt;0, sum(M5:S5)&gt;0), "ERROR", sum(J5,K4)))</f>
        <v>30</v>
      </c>
      <c r="L5" s="39">
        <v>2.0</v>
      </c>
      <c r="M5" s="37">
        <v>-5.0</v>
      </c>
      <c r="N5" s="32"/>
      <c r="O5" s="32"/>
      <c r="P5" s="32"/>
      <c r="Q5" s="42"/>
      <c r="R5" s="42"/>
      <c r="S5" s="32"/>
      <c r="T5" s="37">
        <f t="shared" si="2"/>
        <v>-5</v>
      </c>
      <c r="U5" s="38">
        <f t="shared" ref="U5:U27" si="4">if(sum(sum(C5:H5), M5:R5)&lt;-6, "NEG.ERR", if(and(sum(C5:H5)&gt;0, sum(M5:R5)&gt;0), "ERROR", sum(T5,U4)))</f>
        <v>15</v>
      </c>
      <c r="V5" s="40"/>
      <c r="W5" s="41" t="str">
        <f>IFERROR(__xludf.DUMMYFUNCTION("""COMPUTED_VALUE"""),"Jiaming Zhang")</f>
        <v>Jiaming Zhang</v>
      </c>
      <c r="X5" s="41" t="str">
        <f>IFERROR(__xludf.DUMMYFUNCTION("""COMPUTED_VALUE"""),"Andrew Evans")</f>
        <v>Andrew Evans</v>
      </c>
      <c r="Y5" s="41"/>
      <c r="Z5" s="40"/>
      <c r="AA5" s="40"/>
    </row>
    <row r="6">
      <c r="C6" s="43">
        <v>10.0</v>
      </c>
      <c r="D6" s="42"/>
      <c r="E6" s="42"/>
      <c r="F6" s="32"/>
      <c r="G6" s="42"/>
      <c r="H6" s="42"/>
      <c r="I6" s="37">
        <v>20.0</v>
      </c>
      <c r="J6" s="37">
        <f t="shared" si="1"/>
        <v>30</v>
      </c>
      <c r="K6" s="38">
        <f t="shared" si="3"/>
        <v>60</v>
      </c>
      <c r="L6" s="39">
        <v>3.0</v>
      </c>
      <c r="M6" s="42"/>
      <c r="N6" s="42"/>
      <c r="O6" s="32"/>
      <c r="P6" s="32"/>
      <c r="Q6" s="32"/>
      <c r="R6" s="42"/>
      <c r="S6" s="32"/>
      <c r="T6" s="37">
        <f t="shared" si="2"/>
        <v>0</v>
      </c>
      <c r="U6" s="38">
        <f t="shared" si="4"/>
        <v>15</v>
      </c>
      <c r="V6" s="40"/>
      <c r="W6" s="41" t="str">
        <f>IFERROR(__xludf.DUMMYFUNCTION("""COMPUTED_VALUE"""),"Brian Lai")</f>
        <v>Brian Lai</v>
      </c>
      <c r="X6" s="41" t="str">
        <f>IFERROR(__xludf.DUMMYFUNCTION("""COMPUTED_VALUE"""),"Tim Johanson")</f>
        <v>Tim Johanson</v>
      </c>
      <c r="Y6" s="41"/>
      <c r="Z6" s="40"/>
      <c r="AA6" s="40"/>
    </row>
    <row r="7">
      <c r="C7" s="31"/>
      <c r="D7" s="42"/>
      <c r="E7" s="42"/>
      <c r="F7" s="42"/>
      <c r="G7" s="42"/>
      <c r="H7" s="32"/>
      <c r="I7" s="32"/>
      <c r="J7" s="37">
        <f t="shared" si="1"/>
        <v>0</v>
      </c>
      <c r="K7" s="38">
        <f t="shared" si="3"/>
        <v>60</v>
      </c>
      <c r="L7" s="39">
        <v>4.0</v>
      </c>
      <c r="M7" s="42"/>
      <c r="N7" s="42"/>
      <c r="O7" s="42"/>
      <c r="P7" s="38">
        <v>10.0</v>
      </c>
      <c r="Q7" s="42"/>
      <c r="R7" s="42"/>
      <c r="S7" s="38">
        <v>10.0</v>
      </c>
      <c r="T7" s="37">
        <f t="shared" si="2"/>
        <v>20</v>
      </c>
      <c r="U7" s="38">
        <f t="shared" si="4"/>
        <v>35</v>
      </c>
      <c r="V7" s="40"/>
      <c r="W7" s="41" t="str">
        <f>IFERROR(__xludf.DUMMYFUNCTION("""COMPUTED_VALUE"""),"Alan Hsu")</f>
        <v>Alan Hsu</v>
      </c>
      <c r="X7" s="41" t="str">
        <f>IFERROR(__xludf.DUMMYFUNCTION("""COMPUTED_VALUE"""),"Connor McKenzie")</f>
        <v>Connor McKenzie</v>
      </c>
      <c r="Y7" s="41"/>
      <c r="Z7" s="40"/>
      <c r="AA7" s="40"/>
    </row>
    <row r="8">
      <c r="C8" s="43">
        <v>15.0</v>
      </c>
      <c r="D8" s="32"/>
      <c r="E8" s="32"/>
      <c r="F8" s="32"/>
      <c r="G8" s="42"/>
      <c r="H8" s="42"/>
      <c r="I8" s="37">
        <v>30.0</v>
      </c>
      <c r="J8" s="37">
        <f t="shared" si="1"/>
        <v>45</v>
      </c>
      <c r="K8" s="38">
        <f t="shared" si="3"/>
        <v>105</v>
      </c>
      <c r="L8" s="39">
        <v>5.0</v>
      </c>
      <c r="M8" s="32"/>
      <c r="N8" s="42"/>
      <c r="O8" s="42"/>
      <c r="P8" s="42"/>
      <c r="Q8" s="32"/>
      <c r="R8" s="42"/>
      <c r="S8" s="32"/>
      <c r="T8" s="37">
        <f t="shared" si="2"/>
        <v>0</v>
      </c>
      <c r="U8" s="38">
        <f t="shared" si="4"/>
        <v>35</v>
      </c>
      <c r="V8" s="40"/>
      <c r="W8" s="41" t="str">
        <f>IFERROR(__xludf.DUMMYFUNCTION("""COMPUTED_VALUE"""),"Kiran James")</f>
        <v>Kiran James</v>
      </c>
      <c r="X8" s="41" t="str">
        <f>IFERROR(__xludf.DUMMYFUNCTION("""COMPUTED_VALUE"""),"Keenan Powell")</f>
        <v>Keenan Powell</v>
      </c>
      <c r="Y8" s="41"/>
      <c r="Z8" s="40"/>
      <c r="AA8" s="40"/>
    </row>
    <row r="9">
      <c r="C9" s="44"/>
      <c r="D9" s="32"/>
      <c r="E9" s="32"/>
      <c r="F9" s="32"/>
      <c r="G9" s="32"/>
      <c r="H9" s="42"/>
      <c r="I9" s="32"/>
      <c r="J9" s="37">
        <f t="shared" si="1"/>
        <v>0</v>
      </c>
      <c r="K9" s="38">
        <f t="shared" si="3"/>
        <v>105</v>
      </c>
      <c r="L9" s="39">
        <v>6.0</v>
      </c>
      <c r="M9" s="42"/>
      <c r="N9" s="42"/>
      <c r="O9" s="38">
        <v>10.0</v>
      </c>
      <c r="P9" s="32"/>
      <c r="Q9" s="42"/>
      <c r="R9" s="42"/>
      <c r="S9" s="38">
        <v>20.0</v>
      </c>
      <c r="T9" s="37">
        <f t="shared" si="2"/>
        <v>30</v>
      </c>
      <c r="U9" s="38">
        <f t="shared" si="4"/>
        <v>65</v>
      </c>
      <c r="V9" s="40"/>
      <c r="W9" s="41" t="str">
        <f>IFERROR(__xludf.DUMMYFUNCTION("""COMPUTED_VALUE"""),"Jamal Baig")</f>
        <v>Jamal Baig</v>
      </c>
      <c r="X9" s="41" t="str">
        <f>IFERROR(__xludf.DUMMYFUNCTION("""COMPUTED_VALUE"""),"Benoy Sen")</f>
        <v>Benoy Sen</v>
      </c>
      <c r="Y9" s="41"/>
      <c r="Z9" s="40"/>
      <c r="AA9" s="40"/>
    </row>
    <row r="10">
      <c r="C10" s="44"/>
      <c r="D10" s="32"/>
      <c r="E10" s="42"/>
      <c r="F10" s="32"/>
      <c r="G10" s="42"/>
      <c r="H10" s="42"/>
      <c r="I10" s="32"/>
      <c r="J10" s="37">
        <f t="shared" si="1"/>
        <v>0</v>
      </c>
      <c r="K10" s="38">
        <f t="shared" si="3"/>
        <v>105</v>
      </c>
      <c r="L10" s="39">
        <v>7.0</v>
      </c>
      <c r="M10" s="42"/>
      <c r="N10" s="42"/>
      <c r="O10" s="32"/>
      <c r="P10" s="38">
        <v>15.0</v>
      </c>
      <c r="Q10" s="42"/>
      <c r="R10" s="42"/>
      <c r="S10" s="37">
        <v>0.0</v>
      </c>
      <c r="T10" s="37">
        <f t="shared" si="2"/>
        <v>15</v>
      </c>
      <c r="U10" s="38">
        <f t="shared" si="4"/>
        <v>80</v>
      </c>
      <c r="V10" s="40"/>
      <c r="W10" s="41" t="str">
        <f>IFERROR(__xludf.DUMMYFUNCTION("""COMPUTED_VALUE"""),"")</f>
        <v/>
      </c>
      <c r="X10" s="41" t="str">
        <f>IFERROR(__xludf.DUMMYFUNCTION("""COMPUTED_VALUE"""),"")</f>
        <v/>
      </c>
      <c r="Y10" s="41"/>
      <c r="Z10" s="40"/>
      <c r="AA10" s="40"/>
    </row>
    <row r="11">
      <c r="C11" s="44"/>
      <c r="D11" s="32"/>
      <c r="E11" s="42"/>
      <c r="F11" s="42"/>
      <c r="G11" s="42"/>
      <c r="H11" s="42"/>
      <c r="I11" s="32"/>
      <c r="J11" s="37">
        <f t="shared" si="1"/>
        <v>0</v>
      </c>
      <c r="K11" s="38">
        <f t="shared" si="3"/>
        <v>105</v>
      </c>
      <c r="L11" s="39">
        <v>8.0</v>
      </c>
      <c r="M11" s="42"/>
      <c r="N11" s="42"/>
      <c r="O11" s="38">
        <v>15.0</v>
      </c>
      <c r="P11" s="42"/>
      <c r="Q11" s="42"/>
      <c r="R11" s="42"/>
      <c r="S11" s="38">
        <v>30.0</v>
      </c>
      <c r="T11" s="37">
        <f t="shared" si="2"/>
        <v>45</v>
      </c>
      <c r="U11" s="38">
        <f t="shared" si="4"/>
        <v>125</v>
      </c>
      <c r="V11" s="40"/>
      <c r="W11" s="41" t="str">
        <f>IFERROR(__xludf.DUMMYFUNCTION("""COMPUTED_VALUE"""),"")</f>
        <v/>
      </c>
      <c r="X11" s="41" t="str">
        <f>IFERROR(__xludf.DUMMYFUNCTION("""COMPUTED_VALUE"""),"")</f>
        <v/>
      </c>
      <c r="Y11" s="41"/>
      <c r="Z11" s="40"/>
      <c r="AA11" s="40"/>
    </row>
    <row r="12">
      <c r="C12" s="45">
        <v>15.0</v>
      </c>
      <c r="D12" s="32"/>
      <c r="E12" s="42"/>
      <c r="F12" s="42"/>
      <c r="G12" s="42"/>
      <c r="H12" s="42"/>
      <c r="I12" s="37">
        <v>10.0</v>
      </c>
      <c r="J12" s="37">
        <f t="shared" si="1"/>
        <v>25</v>
      </c>
      <c r="K12" s="38">
        <f t="shared" si="3"/>
        <v>130</v>
      </c>
      <c r="L12" s="39">
        <v>9.0</v>
      </c>
      <c r="M12" s="42"/>
      <c r="N12" s="32"/>
      <c r="O12" s="42"/>
      <c r="P12" s="42"/>
      <c r="Q12" s="42"/>
      <c r="R12" s="42"/>
      <c r="S12" s="32"/>
      <c r="T12" s="37">
        <f t="shared" si="2"/>
        <v>0</v>
      </c>
      <c r="U12" s="38">
        <f t="shared" si="4"/>
        <v>125</v>
      </c>
      <c r="V12" s="40"/>
      <c r="W12" s="41" t="str">
        <f>IFERROR(__xludf.DUMMYFUNCTION("""COMPUTED_VALUE"""),"")</f>
        <v/>
      </c>
      <c r="X12" s="41" t="str">
        <f>IFERROR(__xludf.DUMMYFUNCTION("""COMPUTED_VALUE"""),"")</f>
        <v/>
      </c>
      <c r="Y12" s="41"/>
      <c r="Z12" s="40"/>
      <c r="AA12" s="40"/>
    </row>
    <row r="13">
      <c r="C13" s="44"/>
      <c r="D13" s="32"/>
      <c r="E13" s="32"/>
      <c r="F13" s="42"/>
      <c r="G13" s="42"/>
      <c r="H13" s="42"/>
      <c r="I13" s="32"/>
      <c r="J13" s="37">
        <f t="shared" si="1"/>
        <v>0</v>
      </c>
      <c r="K13" s="38">
        <f t="shared" si="3"/>
        <v>130</v>
      </c>
      <c r="L13" s="39">
        <v>10.0</v>
      </c>
      <c r="M13" s="42"/>
      <c r="N13" s="42"/>
      <c r="O13" s="37">
        <v>15.0</v>
      </c>
      <c r="P13" s="42"/>
      <c r="Q13" s="42"/>
      <c r="R13" s="42"/>
      <c r="S13" s="37">
        <v>20.0</v>
      </c>
      <c r="T13" s="37">
        <f t="shared" si="2"/>
        <v>35</v>
      </c>
      <c r="U13" s="38">
        <f t="shared" si="4"/>
        <v>160</v>
      </c>
      <c r="V13" s="40"/>
      <c r="W13" s="40" t="str">
        <f>IFERROR(__xludf.DUMMYFUNCTION("""COMPUTED_VALUE"""),"")</f>
        <v/>
      </c>
      <c r="X13" s="40" t="str">
        <f>IFERROR(__xludf.DUMMYFUNCTION("""COMPUTED_VALUE"""),"")</f>
        <v/>
      </c>
      <c r="Y13" s="40"/>
      <c r="Z13" s="40"/>
      <c r="AA13" s="40"/>
    </row>
    <row r="14">
      <c r="C14" s="48"/>
      <c r="D14" s="138"/>
      <c r="E14" s="50"/>
      <c r="F14" s="139">
        <v>-5.0</v>
      </c>
      <c r="G14" s="50"/>
      <c r="H14" s="49"/>
      <c r="I14" s="51"/>
      <c r="J14" s="52">
        <f t="shared" si="1"/>
        <v>-5</v>
      </c>
      <c r="K14" s="53">
        <f t="shared" si="3"/>
        <v>125</v>
      </c>
      <c r="L14" s="54">
        <v>11.0</v>
      </c>
      <c r="M14" s="55"/>
      <c r="N14" s="49"/>
      <c r="O14" s="55"/>
      <c r="P14" s="49"/>
      <c r="Q14" s="56"/>
      <c r="R14" s="49"/>
      <c r="S14" s="51"/>
      <c r="T14" s="52">
        <f t="shared" si="2"/>
        <v>0</v>
      </c>
      <c r="U14" s="53">
        <f t="shared" si="4"/>
        <v>160</v>
      </c>
      <c r="V14" s="46"/>
      <c r="W14" s="46" t="str">
        <f>IFERROR(__xludf.DUMMYFUNCTION("""COMPUTED_VALUE"""),"")</f>
        <v/>
      </c>
      <c r="X14" s="46" t="str">
        <f>IFERROR(__xludf.DUMMYFUNCTION("""COMPUTED_VALUE"""),"")</f>
        <v/>
      </c>
      <c r="Y14" s="46"/>
      <c r="Z14" s="46"/>
      <c r="AA14" s="46"/>
    </row>
    <row r="15">
      <c r="C15" s="44"/>
      <c r="D15" s="42"/>
      <c r="E15" s="42"/>
      <c r="F15" s="37">
        <v>10.0</v>
      </c>
      <c r="G15" s="42"/>
      <c r="H15" s="42"/>
      <c r="I15" s="37">
        <v>20.0</v>
      </c>
      <c r="J15" s="37">
        <f t="shared" si="1"/>
        <v>30</v>
      </c>
      <c r="K15" s="38">
        <f t="shared" si="3"/>
        <v>155</v>
      </c>
      <c r="L15" s="39">
        <v>12.0</v>
      </c>
      <c r="M15" s="42"/>
      <c r="N15" s="32"/>
      <c r="O15" s="42"/>
      <c r="P15" s="42"/>
      <c r="Q15" s="42"/>
      <c r="R15" s="42"/>
      <c r="S15" s="42"/>
      <c r="T15" s="37">
        <f t="shared" si="2"/>
        <v>0</v>
      </c>
      <c r="U15" s="38">
        <f t="shared" si="4"/>
        <v>160</v>
      </c>
      <c r="V15" s="46"/>
      <c r="W15" s="46" t="str">
        <f>IFERROR(__xludf.DUMMYFUNCTION("""COMPUTED_VALUE"""),"")</f>
        <v/>
      </c>
      <c r="X15" s="46" t="str">
        <f>IFERROR(__xludf.DUMMYFUNCTION("""COMPUTED_VALUE"""),"")</f>
        <v/>
      </c>
      <c r="Y15" s="46"/>
      <c r="Z15" s="46"/>
      <c r="AA15" s="46"/>
    </row>
    <row r="16">
      <c r="C16" s="31"/>
      <c r="D16" s="42"/>
      <c r="E16" s="42"/>
      <c r="F16" s="42"/>
      <c r="G16" s="42"/>
      <c r="H16" s="32"/>
      <c r="I16" s="32"/>
      <c r="J16" s="37">
        <f t="shared" si="1"/>
        <v>0</v>
      </c>
      <c r="K16" s="38">
        <f t="shared" si="3"/>
        <v>155</v>
      </c>
      <c r="L16" s="39">
        <v>13.0</v>
      </c>
      <c r="M16" s="32"/>
      <c r="N16" s="38">
        <v>15.0</v>
      </c>
      <c r="O16" s="42"/>
      <c r="P16" s="42"/>
      <c r="Q16" s="42"/>
      <c r="R16" s="42"/>
      <c r="S16" s="37">
        <v>20.0</v>
      </c>
      <c r="T16" s="37">
        <f t="shared" si="2"/>
        <v>35</v>
      </c>
      <c r="U16" s="38">
        <f t="shared" si="4"/>
        <v>195</v>
      </c>
      <c r="V16" s="46"/>
      <c r="W16" s="46"/>
      <c r="X16" s="46"/>
      <c r="Y16" s="46"/>
      <c r="Z16" s="46"/>
      <c r="AA16" s="46"/>
    </row>
    <row r="17">
      <c r="C17" s="31"/>
      <c r="D17" s="42"/>
      <c r="E17" s="42"/>
      <c r="F17" s="38">
        <v>10.0</v>
      </c>
      <c r="G17" s="42"/>
      <c r="H17" s="42"/>
      <c r="I17" s="37">
        <v>20.0</v>
      </c>
      <c r="J17" s="37">
        <f t="shared" si="1"/>
        <v>30</v>
      </c>
      <c r="K17" s="38">
        <f t="shared" si="3"/>
        <v>185</v>
      </c>
      <c r="L17" s="39">
        <v>14.0</v>
      </c>
      <c r="M17" s="32"/>
      <c r="N17" s="42"/>
      <c r="O17" s="32"/>
      <c r="P17" s="42"/>
      <c r="Q17" s="38">
        <v>-5.0</v>
      </c>
      <c r="R17" s="42"/>
      <c r="S17" s="32"/>
      <c r="T17" s="37">
        <f t="shared" si="2"/>
        <v>-5</v>
      </c>
      <c r="U17" s="38">
        <f t="shared" si="4"/>
        <v>190</v>
      </c>
      <c r="V17" s="40"/>
      <c r="W17" s="40"/>
      <c r="X17" s="40"/>
      <c r="Y17" s="40"/>
      <c r="Z17" s="46"/>
      <c r="AA17" s="46"/>
    </row>
    <row r="18">
      <c r="C18" s="44"/>
      <c r="D18" s="42"/>
      <c r="E18" s="42"/>
      <c r="F18" s="38">
        <v>15.0</v>
      </c>
      <c r="G18" s="42"/>
      <c r="H18" s="42"/>
      <c r="I18" s="37">
        <v>20.0</v>
      </c>
      <c r="J18" s="37">
        <f t="shared" si="1"/>
        <v>35</v>
      </c>
      <c r="K18" s="38">
        <f t="shared" si="3"/>
        <v>220</v>
      </c>
      <c r="L18" s="39">
        <v>15.0</v>
      </c>
      <c r="M18" s="32"/>
      <c r="N18" s="42"/>
      <c r="O18" s="42"/>
      <c r="P18" s="42"/>
      <c r="Q18" s="42"/>
      <c r="R18" s="42"/>
      <c r="S18" s="32"/>
      <c r="T18" s="37">
        <f t="shared" si="2"/>
        <v>0</v>
      </c>
      <c r="U18" s="38">
        <f t="shared" si="4"/>
        <v>190</v>
      </c>
      <c r="V18" s="40" t="str">
        <f>IFERROR(__xludf.DUMMYFUNCTION("IF(NOT(EQ(C38, """")), SPLIT(C38, "";""), """")"),"")</f>
        <v/>
      </c>
      <c r="W18" s="47"/>
      <c r="X18" s="40"/>
      <c r="Y18" s="40"/>
      <c r="Z18" s="46"/>
      <c r="AA18" s="46"/>
    </row>
    <row r="19">
      <c r="C19" s="44"/>
      <c r="D19" s="42"/>
      <c r="E19" s="42"/>
      <c r="F19" s="42"/>
      <c r="G19" s="42"/>
      <c r="H19" s="42"/>
      <c r="I19" s="32"/>
      <c r="J19" s="37">
        <f t="shared" si="1"/>
        <v>0</v>
      </c>
      <c r="K19" s="38">
        <f t="shared" si="3"/>
        <v>220</v>
      </c>
      <c r="L19" s="39">
        <v>16.0</v>
      </c>
      <c r="M19" s="32"/>
      <c r="N19" s="38">
        <v>10.0</v>
      </c>
      <c r="O19" s="42"/>
      <c r="P19" s="42"/>
      <c r="Q19" s="42"/>
      <c r="R19" s="42"/>
      <c r="S19" s="37">
        <v>10.0</v>
      </c>
      <c r="T19" s="37">
        <f t="shared" si="2"/>
        <v>20</v>
      </c>
      <c r="U19" s="38">
        <f t="shared" si="4"/>
        <v>210</v>
      </c>
      <c r="V19" s="40" t="str">
        <f t="shared" ref="V19:Y19" si="5">TRIM(V18)</f>
        <v/>
      </c>
      <c r="W19" s="40" t="str">
        <f t="shared" si="5"/>
        <v/>
      </c>
      <c r="X19" s="40" t="str">
        <f t="shared" si="5"/>
        <v/>
      </c>
      <c r="Y19" s="40" t="str">
        <f t="shared" si="5"/>
        <v/>
      </c>
      <c r="Z19" s="46"/>
      <c r="AA19" s="46"/>
    </row>
    <row r="20">
      <c r="C20" s="43">
        <v>10.0</v>
      </c>
      <c r="D20" s="42"/>
      <c r="E20" s="42"/>
      <c r="F20" s="42"/>
      <c r="G20" s="42"/>
      <c r="H20" s="42"/>
      <c r="I20" s="37">
        <v>10.0</v>
      </c>
      <c r="J20" s="37">
        <f t="shared" si="1"/>
        <v>20</v>
      </c>
      <c r="K20" s="38">
        <f t="shared" si="3"/>
        <v>240</v>
      </c>
      <c r="L20" s="39">
        <v>17.0</v>
      </c>
      <c r="M20" s="32"/>
      <c r="N20" s="42"/>
      <c r="O20" s="42"/>
      <c r="P20" s="42"/>
      <c r="Q20" s="42"/>
      <c r="R20" s="42"/>
      <c r="S20" s="32"/>
      <c r="T20" s="37">
        <f t="shared" si="2"/>
        <v>0</v>
      </c>
      <c r="U20" s="38">
        <f t="shared" si="4"/>
        <v>210</v>
      </c>
      <c r="V20" s="40" t="b">
        <f t="shared" ref="V20:Y20" si="6">EQ(V19,"")</f>
        <v>1</v>
      </c>
      <c r="W20" s="40" t="b">
        <f t="shared" si="6"/>
        <v>1</v>
      </c>
      <c r="X20" s="40" t="b">
        <f t="shared" si="6"/>
        <v>1</v>
      </c>
      <c r="Y20" s="40" t="b">
        <f t="shared" si="6"/>
        <v>1</v>
      </c>
      <c r="Z20" s="46"/>
      <c r="AA20" s="46"/>
    </row>
    <row r="21">
      <c r="C21" s="44"/>
      <c r="D21" s="42"/>
      <c r="E21" s="42"/>
      <c r="F21" s="38">
        <v>10.0</v>
      </c>
      <c r="G21" s="42"/>
      <c r="H21" s="42"/>
      <c r="I21" s="37">
        <v>30.0</v>
      </c>
      <c r="J21" s="37">
        <f t="shared" si="1"/>
        <v>40</v>
      </c>
      <c r="K21" s="38">
        <f t="shared" si="3"/>
        <v>280</v>
      </c>
      <c r="L21" s="39">
        <v>18.0</v>
      </c>
      <c r="M21" s="42"/>
      <c r="N21" s="32"/>
      <c r="O21" s="42"/>
      <c r="P21" s="42"/>
      <c r="Q21" s="42"/>
      <c r="R21" s="42"/>
      <c r="S21" s="32"/>
      <c r="T21" s="37">
        <f t="shared" si="2"/>
        <v>0</v>
      </c>
      <c r="U21" s="38">
        <f t="shared" si="4"/>
        <v>210</v>
      </c>
      <c r="V21" s="57" t="b">
        <f>EQ(UPPER(C2), LEFT(UPPER(V19), LEN(C2)))</f>
        <v>0</v>
      </c>
      <c r="W21" s="57" t="b">
        <f>EQ(UPPER(C2), LEFT(UPPER(W19), LEN(C2)))</f>
        <v>0</v>
      </c>
      <c r="X21" s="57" t="b">
        <f>EQ(UPPER(C2), LEFT(UPPER(X19), LEN(C2)))</f>
        <v>0</v>
      </c>
      <c r="Y21" s="57" t="b">
        <f>EQ(UPPER(C2), LEFT(UPPER(Y19), LEN(C2)))</f>
        <v>0</v>
      </c>
      <c r="Z21" s="46"/>
      <c r="AA21" s="46"/>
    </row>
    <row r="22">
      <c r="C22" s="44"/>
      <c r="D22" s="42"/>
      <c r="E22" s="42"/>
      <c r="F22" s="42"/>
      <c r="G22" s="42"/>
      <c r="H22" s="42"/>
      <c r="I22" s="42"/>
      <c r="J22" s="37">
        <f t="shared" si="1"/>
        <v>0</v>
      </c>
      <c r="K22" s="38">
        <f t="shared" si="3"/>
        <v>280</v>
      </c>
      <c r="L22" s="39">
        <v>19.0</v>
      </c>
      <c r="M22" s="42"/>
      <c r="N22" s="42"/>
      <c r="O22" s="32"/>
      <c r="P22" s="38">
        <v>10.0</v>
      </c>
      <c r="Q22" s="42"/>
      <c r="R22" s="42"/>
      <c r="S22" s="37">
        <v>10.0</v>
      </c>
      <c r="T22" s="37">
        <f t="shared" si="2"/>
        <v>20</v>
      </c>
      <c r="U22" s="38">
        <f t="shared" si="4"/>
        <v>230</v>
      </c>
      <c r="V22" s="57" t="b">
        <f>EQ(UPPER(M2), LEFT(UPPER(V19), LEN(M2)))</f>
        <v>0</v>
      </c>
      <c r="W22" s="57" t="b">
        <f>EQ(UPPER(M2), LEFT(UPPER(W19), LEN(M2)))</f>
        <v>0</v>
      </c>
      <c r="X22" s="40" t="b">
        <f>EQ(UPPER(M2), LEFT(UPPER(X19), LEN(M2)))</f>
        <v>0</v>
      </c>
      <c r="Y22" s="57" t="b">
        <f>EQ(UPPER(M2), LEFT(UPPER(Y19), LEN(M2)))</f>
        <v>0</v>
      </c>
      <c r="Z22" s="46"/>
      <c r="AA22" s="46"/>
    </row>
    <row r="23">
      <c r="C23" s="43">
        <v>10.0</v>
      </c>
      <c r="D23" s="42"/>
      <c r="E23" s="42"/>
      <c r="F23" s="42"/>
      <c r="G23" s="42"/>
      <c r="H23" s="42"/>
      <c r="I23" s="37">
        <v>0.0</v>
      </c>
      <c r="J23" s="37">
        <f t="shared" si="1"/>
        <v>10</v>
      </c>
      <c r="K23" s="38">
        <f t="shared" si="3"/>
        <v>290</v>
      </c>
      <c r="L23" s="39">
        <v>20.0</v>
      </c>
      <c r="M23" s="32"/>
      <c r="N23" s="42"/>
      <c r="O23" s="42"/>
      <c r="P23" s="42"/>
      <c r="Q23" s="42"/>
      <c r="R23" s="42"/>
      <c r="S23" s="42"/>
      <c r="T23" s="37">
        <f t="shared" si="2"/>
        <v>0</v>
      </c>
      <c r="U23" s="38">
        <f t="shared" si="4"/>
        <v>230</v>
      </c>
      <c r="V23" s="57" t="b">
        <f>IFERROR(__xludf.DUMMYFUNCTION("IFERROR(OR(REGEXEXTRACT(V19, ""[0-9]+ :|[0-9]+:""), True), False)"),FALSE)</f>
        <v>0</v>
      </c>
      <c r="W23" s="57" t="b">
        <f>IFERROR(__xludf.DUMMYFUNCTION("IFERROR(OR(REGEXEXTRACT(W19, ""[0-9]+ :|[0-9]+:""), True), False)"),FALSE)</f>
        <v>0</v>
      </c>
      <c r="X23" s="57" t="b">
        <f>IFERROR(__xludf.DUMMYFUNCTION("IFERROR(OR(REGEXEXTRACT(X19, ""[0-9]+ :|[0-9]+:""), True), False)"),FALSE)</f>
        <v>0</v>
      </c>
      <c r="Y23" s="57" t="b">
        <f>IFERROR(__xludf.DUMMYFUNCTION("IFERROR(OR(REGEXEXTRACT(Y19, ""[0-9]+ :|[0-9]+:""), True), False)"),FALSE)</f>
        <v>0</v>
      </c>
      <c r="Z23" s="46"/>
      <c r="AA23" s="46"/>
    </row>
    <row r="24">
      <c r="C24" s="67"/>
      <c r="D24" s="59"/>
      <c r="E24" s="60"/>
      <c r="F24" s="61"/>
      <c r="G24" s="60"/>
      <c r="H24" s="59"/>
      <c r="I24" s="62" t="s">
        <v>59</v>
      </c>
      <c r="J24" s="63">
        <f t="shared" ref="J24:J27" si="8">IF(COUNTA(C24:H24)&lt;=1, IF(AND(OR(C24&lt;0, D24&lt;0, E24&lt;0, F24&lt;0, G24&lt;0, H24&lt;0), I24&gt;0), "BON.ERR", SUM(C24:H24)), "NEG.ERR")</f>
        <v>0</v>
      </c>
      <c r="K24" s="64">
        <f t="shared" si="3"/>
        <v>290</v>
      </c>
      <c r="L24" s="68" t="s">
        <v>60</v>
      </c>
      <c r="M24" s="66"/>
      <c r="N24" s="59"/>
      <c r="O24" s="66"/>
      <c r="P24" s="59"/>
      <c r="Q24" s="66"/>
      <c r="R24" s="59"/>
      <c r="S24" s="62" t="s">
        <v>59</v>
      </c>
      <c r="T24" s="63">
        <f t="shared" ref="T24:T27" si="9">IF(COUNTA(M24:R24)&lt;=1, IF(AND(OR(M24&lt;0, N24&lt;0, O24&lt;0, P24&lt;0, Q24&lt;0, R24&lt;0), S24&gt;0), "BON.ERR", SUM(M24:R24)), "NEG.ERR")</f>
        <v>0</v>
      </c>
      <c r="U24" s="64">
        <f t="shared" si="4"/>
        <v>230</v>
      </c>
      <c r="V24" s="57" t="b">
        <f t="shared" ref="V24:W24" si="7">IFERROR(IF(V21, AND(FIND(UPPER(C3), UPPER(V19)) &gt; 0, NOT(EQ(C3,""))), AND(FIND(UPPER(M3), UPPER(V19)) &gt; 0, NOT(EQ(M3,"")))), FALSE)</f>
        <v>0</v>
      </c>
      <c r="W24" s="57" t="b">
        <f t="shared" si="7"/>
        <v>0</v>
      </c>
      <c r="X24" s="57" t="b">
        <f>IFERROR(IF(X21, AND(FIND(UPPER(C3), UPPER(X19)) &gt; 0, NOT(EQ(C3,""))), AND(FIND(UPPER(M3), UPPER(X19)) &gt; 0, NOT(EQ(M3,"")))), FALSE)</f>
        <v>0</v>
      </c>
      <c r="Y24" s="57" t="b">
        <f>IFERROR(IF(Y21, AND(FIND(UPPER(C3), UPPER(Y19)) &gt; 0, NOT(EQ(C3,""))), AND(FIND(UPPER(M3), UPPER(Y19)) &gt; 0, NOT(EQ(M3,"")))), FALSE)</f>
        <v>0</v>
      </c>
      <c r="Z24" s="46"/>
      <c r="AA24" s="46"/>
    </row>
    <row r="25">
      <c r="C25" s="67"/>
      <c r="D25" s="61"/>
      <c r="E25" s="60"/>
      <c r="F25" s="59"/>
      <c r="G25" s="60"/>
      <c r="H25" s="59"/>
      <c r="I25" s="62" t="s">
        <v>59</v>
      </c>
      <c r="J25" s="63">
        <f t="shared" si="8"/>
        <v>0</v>
      </c>
      <c r="K25" s="64">
        <f t="shared" si="3"/>
        <v>290</v>
      </c>
      <c r="L25" s="25"/>
      <c r="M25" s="66"/>
      <c r="N25" s="59"/>
      <c r="O25" s="66"/>
      <c r="P25" s="59"/>
      <c r="Q25" s="66"/>
      <c r="R25" s="59"/>
      <c r="S25" s="62" t="s">
        <v>59</v>
      </c>
      <c r="T25" s="63">
        <f t="shared" si="9"/>
        <v>0</v>
      </c>
      <c r="U25" s="64">
        <f t="shared" si="4"/>
        <v>230</v>
      </c>
      <c r="V25" s="57" t="b">
        <f t="shared" ref="V25:W25" si="10">IFERROR(IF(V21, AND(FIND(UPPER(D3), UPPER(V19)) &gt; 0, NOT(EQ(D3,""))), AND(FIND(UPPER(N3), UPPER(V19)) &gt; 0, NOT(EQ(N3,"")))), FALSE)</f>
        <v>0</v>
      </c>
      <c r="W25" s="57" t="b">
        <f t="shared" si="10"/>
        <v>0</v>
      </c>
      <c r="X25" s="57" t="b">
        <f>IFERROR(IF(X21, AND(FIND(UPPER(D3), UPPER(X19)) &gt; 0, NOT(EQ(D3,""))), AND(FIND(UPPER(N3), UPPER(X19)) &gt; 0, NOT(EQ(N3,"")))), FALSE)</f>
        <v>0</v>
      </c>
      <c r="Y25" s="57" t="b">
        <f>IFERROR(IF(Y21, AND(FIND(UPPER(D3), UPPER(Y19)) &gt; 0, NOT(EQ(D3,""))), AND(FIND(UPPER(N3), UPPER(Y19)) &gt; 0, NOT(EQ(N3,"")))), FALSE)</f>
        <v>0</v>
      </c>
      <c r="Z25" s="46"/>
      <c r="AA25" s="46"/>
    </row>
    <row r="26">
      <c r="C26" s="67"/>
      <c r="D26" s="59"/>
      <c r="E26" s="60"/>
      <c r="F26" s="59"/>
      <c r="G26" s="60"/>
      <c r="H26" s="59"/>
      <c r="I26" s="62" t="s">
        <v>59</v>
      </c>
      <c r="J26" s="63">
        <f t="shared" si="8"/>
        <v>0</v>
      </c>
      <c r="K26" s="64">
        <f t="shared" si="3"/>
        <v>290</v>
      </c>
      <c r="L26" s="25"/>
      <c r="M26" s="66"/>
      <c r="N26" s="59"/>
      <c r="O26" s="66"/>
      <c r="P26" s="59"/>
      <c r="Q26" s="66"/>
      <c r="R26" s="59"/>
      <c r="S26" s="62" t="s">
        <v>59</v>
      </c>
      <c r="T26" s="63">
        <f t="shared" si="9"/>
        <v>0</v>
      </c>
      <c r="U26" s="64">
        <f t="shared" si="4"/>
        <v>230</v>
      </c>
      <c r="V26" s="57" t="b">
        <f t="shared" ref="V26:W26" si="11">IFERROR(IF(V21, AND(FIND(UPPER(E3), UPPER(V19)) &gt; 0, NOT(EQ(E3,""))), AND(FIND(UPPER(O3), UPPER(V19)) &gt; 0, NOT(EQ(O3,"")))), FALSE)</f>
        <v>0</v>
      </c>
      <c r="W26" s="57" t="b">
        <f t="shared" si="11"/>
        <v>0</v>
      </c>
      <c r="X26" s="57" t="b">
        <f>IFERROR(IF(X21, AND(FIND(UPPER(E3), UPPER(X19)) &gt; 0, NOT(EQ(E3,""))), AND(FIND(UPPER(O3), UPPER(X19)) &gt; 0, NOT(EQ(O3,"")))), FALSE)</f>
        <v>0</v>
      </c>
      <c r="Y26" s="57" t="b">
        <f>IFERROR(IF(Y21, AND(FIND(UPPER(E3), UPPER(Y19)) &gt; 0, NOT(EQ(E3,""))), AND(FIND(UPPER(O3), UPPER(Y19)) &gt; 0, NOT(EQ(O3,"")))), FALSE)</f>
        <v>0</v>
      </c>
      <c r="Z26" s="46"/>
      <c r="AA26" s="46"/>
    </row>
    <row r="27">
      <c r="C27" s="67"/>
      <c r="D27" s="59"/>
      <c r="E27" s="60"/>
      <c r="F27" s="59"/>
      <c r="G27" s="60"/>
      <c r="H27" s="59"/>
      <c r="I27" s="62" t="s">
        <v>59</v>
      </c>
      <c r="J27" s="63">
        <f t="shared" si="8"/>
        <v>0</v>
      </c>
      <c r="K27" s="64">
        <f t="shared" si="3"/>
        <v>290</v>
      </c>
      <c r="L27" s="69"/>
      <c r="M27" s="66"/>
      <c r="N27" s="59"/>
      <c r="O27" s="66"/>
      <c r="P27" s="59"/>
      <c r="Q27" s="66"/>
      <c r="R27" s="59"/>
      <c r="S27" s="62" t="s">
        <v>59</v>
      </c>
      <c r="T27" s="63">
        <f t="shared" si="9"/>
        <v>0</v>
      </c>
      <c r="U27" s="64">
        <f t="shared" si="4"/>
        <v>230</v>
      </c>
      <c r="V27" s="57" t="b">
        <f t="shared" ref="V27:W27" si="12">IFERROR(IF(V21, AND(FIND(UPPER(F3), UPPER(V19)) &gt; 0, NOT(EQ(F3,""))), AND(FIND(UPPER(P3), UPPER(V19)) &gt; 0, NOT(EQ(P3,"")))), FALSE)</f>
        <v>0</v>
      </c>
      <c r="W27" s="57" t="b">
        <f t="shared" si="12"/>
        <v>0</v>
      </c>
      <c r="X27" s="57" t="b">
        <f>IFERROR(IF(X21, AND(FIND(UPPER(F3), UPPER(X19)) &gt; 0, NOT(EQ(F3,""))), AND(FIND(UPPER(P3), UPPER(X19)) &gt; 0, NOT(EQ(P3,"")))), FALSE)</f>
        <v>0</v>
      </c>
      <c r="Y27" s="57" t="b">
        <f>IFERROR(IF(Y21, AND(FIND(UPPER(F3), UPPER(Y19)) &gt; 0, NOT(EQ(F3,""))), AND(FIND(UPPER(P3), UPPER(Y19)) &gt; 0, NOT(EQ(P3,"")))), FALSE)</f>
        <v>0</v>
      </c>
      <c r="Z27" s="46"/>
      <c r="AA27" s="46"/>
    </row>
    <row r="28">
      <c r="B28" s="70">
        <v>15.0</v>
      </c>
      <c r="C28" s="71">
        <f t="shared" ref="C28:H28" si="13">COUNTIF(C4:C27, "=15")</f>
        <v>2</v>
      </c>
      <c r="D28" s="72">
        <f t="shared" si="13"/>
        <v>0</v>
      </c>
      <c r="E28" s="71">
        <f t="shared" si="13"/>
        <v>0</v>
      </c>
      <c r="F28" s="72">
        <f t="shared" si="13"/>
        <v>1</v>
      </c>
      <c r="G28" s="71">
        <f t="shared" si="13"/>
        <v>0</v>
      </c>
      <c r="H28" s="72">
        <f t="shared" si="13"/>
        <v>0</v>
      </c>
      <c r="I28" s="73" t="s">
        <v>61</v>
      </c>
      <c r="J28" s="74"/>
      <c r="K28" s="75" t="s">
        <v>62</v>
      </c>
      <c r="L28" s="76">
        <v>15.0</v>
      </c>
      <c r="M28" s="77">
        <f t="shared" ref="M28:R28" si="14">COUNTIF(M4:M27, "=15")</f>
        <v>0</v>
      </c>
      <c r="N28" s="78">
        <f t="shared" si="14"/>
        <v>1</v>
      </c>
      <c r="O28" s="77">
        <f t="shared" si="14"/>
        <v>2</v>
      </c>
      <c r="P28" s="78">
        <f t="shared" si="14"/>
        <v>1</v>
      </c>
      <c r="Q28" s="77">
        <f t="shared" si="14"/>
        <v>0</v>
      </c>
      <c r="R28" s="78">
        <f t="shared" si="14"/>
        <v>0</v>
      </c>
      <c r="S28" s="79" t="s">
        <v>61</v>
      </c>
      <c r="T28" s="74"/>
      <c r="U28" s="80" t="s">
        <v>62</v>
      </c>
      <c r="V28" s="57" t="b">
        <f t="shared" ref="V28:W28" si="15">IFERROR(IF(V21, AND(FIND(UPPER(G3), UPPER(V19)) &gt; 0, NOT(EQ(G3,""))), AND(FIND(UPPER(Q3), UPPER(V19)) &gt; 0, NOT(EQ(Q3,"")))), FALSE)</f>
        <v>0</v>
      </c>
      <c r="W28" s="57" t="b">
        <f t="shared" si="15"/>
        <v>0</v>
      </c>
      <c r="X28" s="57" t="b">
        <f>IFERROR(IF(X21, AND(FIND(UPPER(G3), UPPER(X19)) &gt; 0, NOT(EQ(G3,""))), AND(FIND(UPPER(Q3), UPPER(X19)) &gt; 0, NOT(EQ(Q3,"")))), FALSE)</f>
        <v>0</v>
      </c>
      <c r="Y28" s="57" t="b">
        <f>IFERROR(IF(Y21, AND(FIND(UPPER(G3), UPPER(Y19)) &gt; 0, NOT(EQ(G3,""))), AND(FIND(UPPER(Q3), UPPER(Y19)) &gt; 0, NOT(EQ(Q3,"")))), FALSE)</f>
        <v>0</v>
      </c>
      <c r="Z28" s="46"/>
      <c r="AA28" s="46"/>
    </row>
    <row r="29">
      <c r="B29" s="81">
        <v>10.0</v>
      </c>
      <c r="C29" s="82">
        <f t="shared" ref="C29:H29" si="16">COUNTIF(C4:C27, "=10")</f>
        <v>3</v>
      </c>
      <c r="D29" s="83">
        <f t="shared" si="16"/>
        <v>1</v>
      </c>
      <c r="E29" s="82">
        <f t="shared" si="16"/>
        <v>0</v>
      </c>
      <c r="F29" s="83">
        <f t="shared" si="16"/>
        <v>3</v>
      </c>
      <c r="G29" s="82">
        <f t="shared" si="16"/>
        <v>0</v>
      </c>
      <c r="H29" s="83">
        <f t="shared" si="16"/>
        <v>0</v>
      </c>
      <c r="I29" s="84"/>
      <c r="J29" s="25"/>
      <c r="K29" s="85"/>
      <c r="L29" s="86">
        <v>10.0</v>
      </c>
      <c r="M29" s="87">
        <f t="shared" ref="M29:R29" si="17">COUNTIF(M4:M27, "=10")</f>
        <v>0</v>
      </c>
      <c r="N29" s="88">
        <f t="shared" si="17"/>
        <v>1</v>
      </c>
      <c r="O29" s="87">
        <f t="shared" si="17"/>
        <v>1</v>
      </c>
      <c r="P29" s="88">
        <f t="shared" si="17"/>
        <v>3</v>
      </c>
      <c r="Q29" s="87">
        <f t="shared" si="17"/>
        <v>0</v>
      </c>
      <c r="R29" s="88">
        <f t="shared" si="17"/>
        <v>0</v>
      </c>
      <c r="S29" s="84"/>
      <c r="T29" s="25"/>
      <c r="U29" s="85"/>
      <c r="V29" s="57" t="b">
        <f>IFERROR(IF(V21, AND(FIND(UPPER(H3), UPPER(V19)) &gt; 0, NOT(EQ(H3,""))), AND(FIND(UPPER(R3), UPPER(V19)) &gt; 0, NOT(EQ(R3,"")))), FALSE)</f>
        <v>0</v>
      </c>
      <c r="W29" s="57" t="b">
        <f>IFERROR(IF(W21, AND(FIND(UPPER(C3), UPPER(W19)) &gt; 0, NOT(EQ(C3,""))), AND(FIND(UPPER(M3), UPPER(W19)) &gt; 0, NOT(EQ(M3,"")))), FALSE)</f>
        <v>0</v>
      </c>
      <c r="X29" s="57" t="b">
        <f>IFERROR(IF(X21, AND(FIND(UPPER(H3), UPPER(X19)) &gt; 0, NOT(EQ(H3,""))), AND(FIND(UPPER(R3), UPPER(X19)) &gt; 0, NOT(EQ(R3,"")))), FALSE)</f>
        <v>0</v>
      </c>
      <c r="Y29" s="57" t="b">
        <f>IFERROR(IF(Y21, AND(FIND(UPPER(H3), UPPER(Y19)) &gt; 0, NOT(EQ(H3,""))), AND(FIND(UPPER(R3), UPPER(Y19)) &gt; 0, NOT(EQ(R3,"")))), FALSE)</f>
        <v>0</v>
      </c>
      <c r="Z29" s="46"/>
      <c r="AA29" s="46"/>
    </row>
    <row r="30">
      <c r="B30" s="81">
        <v>-5.0</v>
      </c>
      <c r="C30" s="89">
        <f t="shared" ref="C30:H30" si="18">COUNTIF(C4:C27, "=-5")</f>
        <v>0</v>
      </c>
      <c r="D30" s="90">
        <f t="shared" si="18"/>
        <v>0</v>
      </c>
      <c r="E30" s="89">
        <f t="shared" si="18"/>
        <v>0</v>
      </c>
      <c r="F30" s="90">
        <f t="shared" si="18"/>
        <v>1</v>
      </c>
      <c r="G30" s="89">
        <f t="shared" si="18"/>
        <v>0</v>
      </c>
      <c r="H30" s="90">
        <f t="shared" si="18"/>
        <v>0</v>
      </c>
      <c r="I30" s="91">
        <f>sum(I4:I23)</f>
        <v>180</v>
      </c>
      <c r="J30" s="25"/>
      <c r="K30" s="92">
        <f>IFERROR(I30/SUM(C28:G29), 0)</f>
        <v>18</v>
      </c>
      <c r="L30" s="86">
        <v>-5.0</v>
      </c>
      <c r="M30" s="93">
        <f t="shared" ref="M30:R30" si="19">COUNTIF(M4:M27, "=-5")</f>
        <v>1</v>
      </c>
      <c r="N30" s="94">
        <f t="shared" si="19"/>
        <v>0</v>
      </c>
      <c r="O30" s="93">
        <f t="shared" si="19"/>
        <v>0</v>
      </c>
      <c r="P30" s="94">
        <f t="shared" si="19"/>
        <v>0</v>
      </c>
      <c r="Q30" s="93">
        <f t="shared" si="19"/>
        <v>1</v>
      </c>
      <c r="R30" s="94">
        <f t="shared" si="19"/>
        <v>0</v>
      </c>
      <c r="S30" s="95">
        <f>sum(S4:S23)</f>
        <v>130</v>
      </c>
      <c r="T30" s="25"/>
      <c r="U30" s="96">
        <f>IFERROR(S30/SUM(M28:Q29), 0)</f>
        <v>14.44444444</v>
      </c>
      <c r="V30" s="57" t="b">
        <f t="shared" ref="V30:W30" si="20">AND(IF(AND(COUNTIF(V24:V29, TRUE)=2, IFERROR(FIND("-", V19) &gt; 0, TRUE)), TRUE, IF(AND(COUNTIF(V24:V29, TRUE)=1, IFERROR(FIND("-", V19) &gt; 0, FALSE)), TRUE, FALSE)),V23)</f>
        <v>0</v>
      </c>
      <c r="W30" s="57" t="b">
        <f t="shared" si="20"/>
        <v>0</v>
      </c>
      <c r="X30" s="57" t="b">
        <f>AND(IF(AND(COUNTIF(X24:X29, TRUE)= 2, IFERROR(FIND("-", X19) &gt; 0, TRUE)), TRUE, IF(AND(COUNTIF(X24:X29,TRUE)=1, IFERROR(FIND("-", X19) &gt; 0, FALSE)), TRUE, FALSE)),X23)</f>
        <v>0</v>
      </c>
      <c r="Y30" s="57" t="b">
        <f>AND(IF(AND(COUNTIF(Y24:Y29, TRUE)=2, IFERROR(FIND("-", Y19) &gt; 0, TRUE)), TRUE, IF(AND(COUNTIF(Y24:Y29, TRUE)=1, IFERROR(FIND("-", Y19) &gt; 0, FALSE)), TRUE, FALSE)),Y23)</f>
        <v>0</v>
      </c>
      <c r="Z30" s="46"/>
      <c r="AA30" s="46"/>
    </row>
    <row r="31">
      <c r="B31" s="97" t="s">
        <v>63</v>
      </c>
      <c r="C31" s="98">
        <f t="shared" ref="C31:H31" si="21">(C28*15)+(C29*10)+(C30*-5)</f>
        <v>60</v>
      </c>
      <c r="D31" s="99">
        <f t="shared" si="21"/>
        <v>10</v>
      </c>
      <c r="E31" s="98">
        <f t="shared" si="21"/>
        <v>0</v>
      </c>
      <c r="F31" s="99">
        <f t="shared" si="21"/>
        <v>40</v>
      </c>
      <c r="G31" s="98">
        <f t="shared" si="21"/>
        <v>0</v>
      </c>
      <c r="H31" s="99">
        <f t="shared" si="21"/>
        <v>0</v>
      </c>
      <c r="I31" s="100"/>
      <c r="J31" s="69"/>
      <c r="K31" s="101"/>
      <c r="L31" s="102" t="s">
        <v>63</v>
      </c>
      <c r="M31" s="103">
        <f t="shared" ref="M31:R31" si="22">(M28*15)+(M29*10)+(M30*-5)</f>
        <v>-5</v>
      </c>
      <c r="N31" s="99">
        <f t="shared" si="22"/>
        <v>25</v>
      </c>
      <c r="O31" s="103">
        <f t="shared" si="22"/>
        <v>40</v>
      </c>
      <c r="P31" s="99">
        <f t="shared" si="22"/>
        <v>45</v>
      </c>
      <c r="Q31" s="103">
        <f t="shared" si="22"/>
        <v>-5</v>
      </c>
      <c r="R31" s="99">
        <f t="shared" si="22"/>
        <v>0</v>
      </c>
      <c r="S31" s="100"/>
      <c r="T31" s="69"/>
      <c r="U31" s="101"/>
      <c r="V31" s="40" t="b">
        <f t="shared" ref="V31:Y31" si="23">OR(AND(V30, OR(V21,V22)),V20)</f>
        <v>1</v>
      </c>
      <c r="W31" s="40" t="b">
        <f t="shared" si="23"/>
        <v>1</v>
      </c>
      <c r="X31" s="40" t="b">
        <f t="shared" si="23"/>
        <v>1</v>
      </c>
      <c r="Y31" s="40" t="b">
        <f t="shared" si="23"/>
        <v>1</v>
      </c>
      <c r="Z31" s="46"/>
      <c r="AA31" s="46"/>
    </row>
    <row r="32">
      <c r="B32" s="104">
        <f>K27</f>
        <v>290</v>
      </c>
      <c r="I32" s="25"/>
      <c r="J32" s="105" t="s">
        <v>64</v>
      </c>
      <c r="K32" s="106"/>
      <c r="L32" s="106"/>
      <c r="M32" s="74"/>
      <c r="N32" s="107">
        <f>U27</f>
        <v>230</v>
      </c>
      <c r="O32" s="106"/>
      <c r="P32" s="106"/>
      <c r="Q32" s="106"/>
      <c r="R32" s="106"/>
      <c r="S32" s="106"/>
      <c r="T32" s="106"/>
      <c r="U32" s="74"/>
      <c r="V32" s="40" t="b">
        <f>AND(V31:Y31)</f>
        <v>1</v>
      </c>
      <c r="W32" s="40"/>
      <c r="X32" s="40"/>
      <c r="Y32" s="40"/>
      <c r="Z32" s="46"/>
      <c r="AA32" s="46"/>
    </row>
    <row r="33">
      <c r="B33" s="84"/>
      <c r="I33" s="25"/>
      <c r="J33" s="84"/>
      <c r="M33" s="25"/>
      <c r="N33" s="84"/>
      <c r="U33" s="25"/>
      <c r="V33" s="40"/>
      <c r="W33" s="40"/>
      <c r="X33" s="40"/>
      <c r="Y33" s="40"/>
      <c r="Z33" s="46"/>
      <c r="AA33" s="46"/>
    </row>
    <row r="34">
      <c r="B34" s="100"/>
      <c r="C34" s="109"/>
      <c r="D34" s="109"/>
      <c r="E34" s="109"/>
      <c r="F34" s="109"/>
      <c r="G34" s="109"/>
      <c r="H34" s="109"/>
      <c r="I34" s="69"/>
      <c r="J34" s="100"/>
      <c r="K34" s="109"/>
      <c r="L34" s="109"/>
      <c r="M34" s="69"/>
      <c r="N34" s="100"/>
      <c r="O34" s="109"/>
      <c r="P34" s="109"/>
      <c r="Q34" s="109"/>
      <c r="R34" s="109"/>
      <c r="S34" s="109"/>
      <c r="T34" s="109"/>
      <c r="U34" s="69"/>
      <c r="V34" s="46"/>
      <c r="W34" s="46"/>
      <c r="X34" s="46"/>
      <c r="Y34" s="46"/>
      <c r="Z34" s="46"/>
      <c r="AA34" s="46"/>
    </row>
    <row r="35">
      <c r="V35" s="46"/>
      <c r="W35" s="46"/>
      <c r="X35" s="46"/>
      <c r="Y35" s="46"/>
      <c r="Z35" s="46"/>
      <c r="AA35" s="40"/>
    </row>
    <row r="36">
      <c r="V36" s="46"/>
      <c r="W36" s="46"/>
      <c r="X36" s="46"/>
      <c r="Y36" s="46"/>
      <c r="Z36" s="46"/>
      <c r="AA36" s="40"/>
    </row>
    <row r="37">
      <c r="C37" s="111" t="s">
        <v>68</v>
      </c>
      <c r="M37" s="111" t="s">
        <v>80</v>
      </c>
      <c r="V37" s="46"/>
      <c r="W37" s="46"/>
      <c r="X37" s="46"/>
      <c r="Y37" s="46"/>
      <c r="Z37" s="46"/>
      <c r="AA37" s="40"/>
    </row>
    <row r="38">
      <c r="V38" s="46"/>
      <c r="W38" s="46"/>
      <c r="X38" s="46"/>
      <c r="Y38" s="46"/>
      <c r="Z38" s="46"/>
      <c r="AA38" s="40"/>
    </row>
    <row r="39">
      <c r="V39" s="46"/>
      <c r="W39" s="46"/>
      <c r="X39" s="46"/>
      <c r="Y39" s="46"/>
      <c r="Z39" s="46"/>
      <c r="AA39" s="40"/>
    </row>
    <row r="40">
      <c r="V40" s="46"/>
      <c r="W40" s="46"/>
      <c r="X40" s="46"/>
      <c r="Y40" s="112"/>
      <c r="Z40" s="112"/>
      <c r="AA40" s="40"/>
    </row>
    <row r="41">
      <c r="V41" s="46"/>
      <c r="W41" s="46"/>
      <c r="X41" s="46"/>
      <c r="Y41" s="46"/>
      <c r="Z41" s="46"/>
      <c r="AA41" s="40"/>
    </row>
    <row r="42">
      <c r="V42" s="46"/>
      <c r="W42" s="46"/>
      <c r="X42" s="46"/>
      <c r="Y42" s="46"/>
      <c r="Z42" s="46"/>
      <c r="AA42" s="40"/>
    </row>
    <row r="43">
      <c r="V43" s="46"/>
      <c r="W43" s="46"/>
      <c r="X43" s="46"/>
      <c r="Y43" s="46"/>
      <c r="Z43" s="46"/>
      <c r="AA43" s="40"/>
    </row>
    <row r="44">
      <c r="C44" s="113"/>
      <c r="F44" s="113"/>
      <c r="G44" s="113"/>
      <c r="V44" s="114"/>
      <c r="W44" s="46"/>
      <c r="X44" s="46"/>
      <c r="Y44" s="46"/>
      <c r="Z44" s="46"/>
      <c r="AA44" s="40"/>
    </row>
    <row r="45">
      <c r="C45" s="113"/>
      <c r="F45" s="113"/>
      <c r="G45" s="113"/>
      <c r="V45" s="40"/>
      <c r="W45" s="40"/>
      <c r="X45" s="40"/>
      <c r="Y45" s="40"/>
      <c r="Z45" s="40"/>
      <c r="AA45" s="40"/>
    </row>
    <row r="46">
      <c r="C46" s="115" t="s">
        <v>66</v>
      </c>
      <c r="F46" s="113"/>
      <c r="G46" s="113"/>
      <c r="V46" s="40"/>
      <c r="W46" s="40"/>
      <c r="X46" s="40"/>
      <c r="Y46" s="40"/>
      <c r="Z46" s="40"/>
      <c r="AA46" s="40"/>
    </row>
    <row r="47">
      <c r="C47" s="116"/>
      <c r="V47" s="40"/>
      <c r="W47" s="40"/>
      <c r="X47" s="40"/>
      <c r="Y47" s="40"/>
      <c r="Z47" s="40"/>
      <c r="AA47" s="40"/>
    </row>
    <row r="48">
      <c r="V48" s="40"/>
      <c r="W48" s="40"/>
      <c r="X48" s="40"/>
      <c r="Y48" s="40"/>
      <c r="Z48" s="40"/>
      <c r="AA48" s="40"/>
    </row>
    <row r="49">
      <c r="V49" s="40"/>
      <c r="W49" s="40"/>
      <c r="X49" s="40"/>
      <c r="Y49" s="40"/>
      <c r="Z49" s="40"/>
      <c r="AA49" s="40"/>
    </row>
    <row r="50">
      <c r="V50" s="40"/>
      <c r="W50" s="40"/>
      <c r="X50" s="40"/>
      <c r="Y50" s="40"/>
      <c r="Z50" s="40"/>
      <c r="AA50" s="40"/>
    </row>
    <row r="51">
      <c r="V51" s="40"/>
      <c r="W51" s="40"/>
      <c r="X51" s="40"/>
      <c r="Y51" s="40"/>
      <c r="Z51" s="40"/>
      <c r="AA51" s="40"/>
    </row>
    <row r="52">
      <c r="V52" s="40"/>
      <c r="W52" s="40"/>
      <c r="X52" s="40"/>
      <c r="Y52" s="40"/>
      <c r="Z52" s="40"/>
      <c r="AA52" s="40"/>
    </row>
    <row r="53">
      <c r="C53" s="113"/>
      <c r="F53" s="113"/>
      <c r="G53" s="113"/>
      <c r="V53" s="40"/>
      <c r="W53" s="40"/>
      <c r="X53" s="40"/>
      <c r="Y53" s="40"/>
      <c r="Z53" s="40"/>
      <c r="AA53" s="40"/>
    </row>
    <row r="54">
      <c r="C54" s="113"/>
      <c r="F54" s="113"/>
      <c r="G54" s="113"/>
      <c r="V54" s="40"/>
      <c r="W54" s="40"/>
      <c r="X54" s="40"/>
      <c r="Y54" s="40"/>
      <c r="Z54" s="40"/>
      <c r="AA54" s="40"/>
    </row>
  </sheetData>
  <mergeCells count="17">
    <mergeCell ref="I30:J31"/>
    <mergeCell ref="B32:I34"/>
    <mergeCell ref="C47:T52"/>
    <mergeCell ref="J32:M34"/>
    <mergeCell ref="N32:U34"/>
    <mergeCell ref="U30:U31"/>
    <mergeCell ref="S30:T31"/>
    <mergeCell ref="K28:K29"/>
    <mergeCell ref="S28:T29"/>
    <mergeCell ref="K30:K31"/>
    <mergeCell ref="G1:Q1"/>
    <mergeCell ref="C2:K2"/>
    <mergeCell ref="L2:L3"/>
    <mergeCell ref="M2:U2"/>
    <mergeCell ref="L24:L27"/>
    <mergeCell ref="I28:J29"/>
    <mergeCell ref="U28:U29"/>
  </mergeCells>
  <conditionalFormatting sqref="C4:U23">
    <cfRule type="expression" dxfId="0" priority="1">
      <formula>$I:$I&lt;&gt;""</formula>
    </cfRule>
  </conditionalFormatting>
  <conditionalFormatting sqref="C4:U23">
    <cfRule type="expression" dxfId="0" priority="2">
      <formula>$S:$S&lt;&gt;""</formula>
    </cfRule>
  </conditionalFormatting>
  <conditionalFormatting sqref="A1">
    <cfRule type="notContainsBlanks" dxfId="1" priority="3">
      <formula>LEN(TRIM(A1))&gt;0</formula>
    </cfRule>
  </conditionalFormatting>
  <conditionalFormatting sqref="X12">
    <cfRule type="notContainsBlanks" dxfId="1" priority="4">
      <formula>LEN(TRIM(X12))&gt;0</formula>
    </cfRule>
  </conditionalFormatting>
  <conditionalFormatting sqref="C38:T43">
    <cfRule type="expression" dxfId="2" priority="5">
      <formula>NOT(V32)</formula>
    </cfRule>
  </conditionalFormatting>
  <dataValidations>
    <dataValidation type="list" allowBlank="1" showErrorMessage="1" sqref="C3:H3">
      <formula1>'ROUND 4'!$W$5:$W$11</formula1>
    </dataValidation>
    <dataValidation type="list" allowBlank="1" showErrorMessage="1" sqref="I4:I23 S4:S23">
      <formula1>"0,10,20,30"</formula1>
    </dataValidation>
    <dataValidation type="list" allowBlank="1" showErrorMessage="1" sqref="C4:H27 M4:R27">
      <formula1>"-5,10,15"</formula1>
    </dataValidation>
    <dataValidation type="list" allowBlank="1" showErrorMessage="1" sqref="M3:R3">
      <formula1>'ROUND 4'!$X$5:$X$11</formula1>
    </dataValidation>
    <dataValidation type="list" allowBlank="1" showErrorMessage="1" sqref="C2 M2">
      <formula1>INSTRUCTIONS!$A$28:$AJ$28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1" max="1" width="1.29"/>
    <col customWidth="1" min="2" max="2" width="5.0"/>
    <col customWidth="1" min="3" max="7" width="8.71"/>
    <col customWidth="1" min="8" max="8" width="8.43"/>
    <col customWidth="1" min="9" max="9" width="9.14"/>
    <col customWidth="1" min="10" max="10" width="8.29"/>
    <col customWidth="1" min="11" max="11" width="8.0"/>
    <col customWidth="1" min="12" max="12" width="8.86"/>
    <col customWidth="1" min="13" max="13" width="8.71"/>
    <col customWidth="1" min="14" max="14" width="8.43"/>
    <col customWidth="1" min="15" max="18" width="8.71"/>
    <col customWidth="1" min="19" max="19" width="8.86"/>
    <col customWidth="1" min="20" max="20" width="8.0"/>
    <col customWidth="1" min="21" max="21" width="8.43"/>
    <col customWidth="1" min="22" max="22" width="21.57"/>
  </cols>
  <sheetData>
    <row r="1" ht="18.75" customHeight="1">
      <c r="C1" s="2"/>
      <c r="D1" s="2"/>
      <c r="E1" s="2"/>
      <c r="F1" s="2"/>
      <c r="G1" s="5" t="s">
        <v>69</v>
      </c>
      <c r="R1" s="2"/>
      <c r="S1" s="2"/>
      <c r="T1" s="2"/>
      <c r="U1" s="2"/>
      <c r="V1" s="7"/>
      <c r="W1" s="7"/>
      <c r="X1" s="7"/>
      <c r="Y1" s="7"/>
      <c r="Z1" s="7"/>
    </row>
    <row r="2" ht="18.75" customHeight="1">
      <c r="C2" s="119"/>
      <c r="D2" s="11"/>
      <c r="E2" s="11"/>
      <c r="F2" s="11"/>
      <c r="G2" s="11"/>
      <c r="H2" s="11"/>
      <c r="I2" s="11"/>
      <c r="J2" s="11"/>
      <c r="K2" s="12"/>
      <c r="L2" s="120" t="s">
        <v>9</v>
      </c>
      <c r="M2" s="121"/>
      <c r="N2" s="11"/>
      <c r="O2" s="11"/>
      <c r="P2" s="11"/>
      <c r="Q2" s="11"/>
      <c r="R2" s="11"/>
      <c r="S2" s="11"/>
      <c r="T2" s="11"/>
      <c r="U2" s="12"/>
      <c r="V2" s="7"/>
      <c r="W2" s="7"/>
      <c r="X2" s="7"/>
      <c r="Y2" s="7"/>
      <c r="Z2" s="7"/>
    </row>
    <row r="3">
      <c r="C3" s="122"/>
      <c r="D3" s="123"/>
      <c r="E3" s="124"/>
      <c r="F3" s="123"/>
      <c r="G3" s="124"/>
      <c r="H3" s="123"/>
      <c r="I3" s="125" t="s">
        <v>24</v>
      </c>
      <c r="J3" s="126" t="s">
        <v>27</v>
      </c>
      <c r="K3" s="125" t="s">
        <v>29</v>
      </c>
      <c r="L3" s="85"/>
      <c r="M3" s="127"/>
      <c r="N3" s="128"/>
      <c r="O3" s="129"/>
      <c r="P3" s="128"/>
      <c r="Q3" s="129"/>
      <c r="R3" s="130"/>
      <c r="S3" s="125" t="s">
        <v>24</v>
      </c>
      <c r="T3" s="126" t="s">
        <v>27</v>
      </c>
      <c r="U3" s="125" t="s">
        <v>29</v>
      </c>
      <c r="V3" s="7"/>
      <c r="W3" s="7"/>
      <c r="X3" s="7"/>
      <c r="Y3" s="7"/>
      <c r="Z3" s="7"/>
    </row>
    <row r="4">
      <c r="C4" s="131"/>
      <c r="D4" s="132"/>
      <c r="E4" s="131"/>
      <c r="F4" s="132"/>
      <c r="G4" s="131"/>
      <c r="H4" s="132"/>
      <c r="I4" s="133"/>
      <c r="J4" s="132">
        <f t="shared" ref="J4:J23" si="1">IF(AND(COUNTA(C4:H4)=0,I4&gt;0), "BON.ERR", IF(COUNTA(C4:H4)&lt;=1, IF(AND(OR(C4&lt;0, D4&lt;0, E4&lt;0, F4&lt;0, G4&lt;0, H4&lt;0), I4&gt;0), "BON.ERR", SUM(C4:I4)), "TEAM.ERR"))</f>
        <v>0</v>
      </c>
      <c r="K4" s="134">
        <f>if(sum(sum(C4:H4), M4:R4)&lt;-6, "NEG.ERR", if(and(sum(C4:I4)&gt;0, sum(M4:S4)&gt;0), "ERROR", sum(J4)))</f>
        <v>0</v>
      </c>
      <c r="L4" s="135">
        <v>1.0</v>
      </c>
      <c r="M4" s="136"/>
      <c r="N4" s="132"/>
      <c r="O4" s="136"/>
      <c r="P4" s="137"/>
      <c r="Q4" s="136"/>
      <c r="R4" s="137"/>
      <c r="S4" s="133"/>
      <c r="T4" s="132">
        <f t="shared" ref="T4:T23" si="2">IF(AND(COUNTA(M4:R4)=0,S4&gt;0), "BON.ERR", IF(COUNTA(M4:R4)&lt;=1, IF(AND(OR(M4&lt;0, N4&lt;0, O4&lt;0, P4&lt;0, Q4&lt;0, R4&lt;0), S4&gt;0), "BON.ERR", SUM(M4:S4)), "TEAM.ERR"))</f>
        <v>0</v>
      </c>
      <c r="U4" s="134">
        <f>if(sum(sum(C4:H4), M4:R4)&lt;-6, "NEG.ERR", if(and(sum(C4:H4)&gt;0, sum(M4:R4)&gt;0), "ERROR", sum(T4)))</f>
        <v>0</v>
      </c>
      <c r="V4" s="40"/>
      <c r="W4" s="41" t="str">
        <f>IFERROR(__xludf.DUMMYFUNCTION("filter(INSTRUCTIONS!A28:AJ39, INSTRUCTIONS!A28:AJ28=C2)"),"#REF!")</f>
        <v>#REF!</v>
      </c>
      <c r="X4" s="41" t="str">
        <f>IFERROR(__xludf.DUMMYFUNCTION("filter(INSTRUCTIONS!A28:AJ39, INSTRUCTIONS!A28:AJ28=M2)"),"")</f>
        <v/>
      </c>
      <c r="Y4" s="41" t="str">
        <f>IFERROR(__xludf.DUMMYFUNCTION("""COMPUTED_VALUE"""),"")</f>
        <v/>
      </c>
      <c r="Z4" s="40" t="str">
        <f>IFERROR(__xludf.DUMMYFUNCTION("""COMPUTED_VALUE"""),"")</f>
        <v/>
      </c>
      <c r="AA4" s="40" t="str">
        <f>IFERROR(__xludf.DUMMYFUNCTION("""COMPUTED_VALUE"""),"")</f>
        <v/>
      </c>
    </row>
    <row r="5">
      <c r="C5" s="131"/>
      <c r="D5" s="132"/>
      <c r="E5" s="131"/>
      <c r="F5" s="132"/>
      <c r="G5" s="131"/>
      <c r="H5" s="132"/>
      <c r="I5" s="133"/>
      <c r="J5" s="132">
        <f t="shared" si="1"/>
        <v>0</v>
      </c>
      <c r="K5" s="134">
        <f t="shared" ref="K5:K27" si="3">if(sum(sum(C5:H5), M5:R5)&lt;-6, "NEG.ERR", if(and(sum(C5:I5)&gt;0, sum(M5:S5)&gt;0), "ERROR", sum(J5,K4)))</f>
        <v>0</v>
      </c>
      <c r="L5" s="135">
        <v>2.0</v>
      </c>
      <c r="M5" s="136"/>
      <c r="N5" s="132"/>
      <c r="O5" s="136"/>
      <c r="P5" s="140"/>
      <c r="Q5" s="141"/>
      <c r="R5" s="142"/>
      <c r="S5" s="133"/>
      <c r="T5" s="132">
        <f t="shared" si="2"/>
        <v>0</v>
      </c>
      <c r="U5" s="134">
        <f t="shared" ref="U5:U27" si="4">if(sum(sum(C5:H5), M5:R5)&lt;-6, "NEG.ERR", if(and(sum(C5:H5)&gt;0, sum(M5:R5)&gt;0), "ERROR", sum(T5,U4)))</f>
        <v>0</v>
      </c>
      <c r="V5" s="40"/>
      <c r="W5" s="41"/>
      <c r="X5" s="41" t="str">
        <f>IFERROR(__xludf.DUMMYFUNCTION("""COMPUTED_VALUE"""),"")</f>
        <v/>
      </c>
      <c r="Y5" s="41" t="str">
        <f>IFERROR(__xludf.DUMMYFUNCTION("""COMPUTED_VALUE"""),"")</f>
        <v/>
      </c>
      <c r="Z5" s="40" t="str">
        <f>IFERROR(__xludf.DUMMYFUNCTION("""COMPUTED_VALUE"""),"")</f>
        <v/>
      </c>
      <c r="AA5" s="40" t="str">
        <f>IFERROR(__xludf.DUMMYFUNCTION("""COMPUTED_VALUE"""),"")</f>
        <v/>
      </c>
    </row>
    <row r="6">
      <c r="C6" s="131"/>
      <c r="D6" s="143"/>
      <c r="E6" s="144"/>
      <c r="F6" s="132"/>
      <c r="G6" s="144"/>
      <c r="H6" s="143"/>
      <c r="I6" s="133"/>
      <c r="J6" s="132">
        <f t="shared" si="1"/>
        <v>0</v>
      </c>
      <c r="K6" s="134">
        <f t="shared" si="3"/>
        <v>0</v>
      </c>
      <c r="L6" s="135">
        <v>3.0</v>
      </c>
      <c r="M6" s="141"/>
      <c r="N6" s="143"/>
      <c r="O6" s="136"/>
      <c r="P6" s="140"/>
      <c r="Q6" s="136"/>
      <c r="R6" s="142"/>
      <c r="S6" s="133"/>
      <c r="T6" s="132">
        <f t="shared" si="2"/>
        <v>0</v>
      </c>
      <c r="U6" s="134">
        <f t="shared" si="4"/>
        <v>0</v>
      </c>
      <c r="V6" s="40"/>
      <c r="W6" s="41"/>
      <c r="X6" s="41" t="str">
        <f>IFERROR(__xludf.DUMMYFUNCTION("""COMPUTED_VALUE"""),"")</f>
        <v/>
      </c>
      <c r="Y6" s="41" t="str">
        <f>IFERROR(__xludf.DUMMYFUNCTION("""COMPUTED_VALUE"""),"")</f>
        <v/>
      </c>
      <c r="Z6" s="40" t="str">
        <f>IFERROR(__xludf.DUMMYFUNCTION("""COMPUTED_VALUE"""),"")</f>
        <v/>
      </c>
      <c r="AA6" s="40" t="str">
        <f>IFERROR(__xludf.DUMMYFUNCTION("""COMPUTED_VALUE"""),"")</f>
        <v/>
      </c>
    </row>
    <row r="7">
      <c r="C7" s="145"/>
      <c r="D7" s="146"/>
      <c r="E7" s="147"/>
      <c r="F7" s="146"/>
      <c r="G7" s="147"/>
      <c r="H7" s="148"/>
      <c r="I7" s="149"/>
      <c r="J7" s="148">
        <f t="shared" si="1"/>
        <v>0</v>
      </c>
      <c r="K7" s="150">
        <f t="shared" si="3"/>
        <v>0</v>
      </c>
      <c r="L7" s="151">
        <v>4.0</v>
      </c>
      <c r="M7" s="152"/>
      <c r="N7" s="146"/>
      <c r="O7" s="152"/>
      <c r="P7" s="153"/>
      <c r="Q7" s="152"/>
      <c r="R7" s="153"/>
      <c r="S7" s="150"/>
      <c r="T7" s="148">
        <f t="shared" si="2"/>
        <v>0</v>
      </c>
      <c r="U7" s="150">
        <f t="shared" si="4"/>
        <v>0</v>
      </c>
      <c r="V7" s="40"/>
      <c r="W7" s="41"/>
      <c r="X7" s="41" t="str">
        <f>IFERROR(__xludf.DUMMYFUNCTION("""COMPUTED_VALUE"""),"")</f>
        <v/>
      </c>
      <c r="Y7" s="41" t="str">
        <f>IFERROR(__xludf.DUMMYFUNCTION("""COMPUTED_VALUE"""),"")</f>
        <v/>
      </c>
      <c r="Z7" s="40" t="str">
        <f>IFERROR(__xludf.DUMMYFUNCTION("""COMPUTED_VALUE"""),"")</f>
        <v/>
      </c>
      <c r="AA7" s="40" t="str">
        <f>IFERROR(__xludf.DUMMYFUNCTION("""COMPUTED_VALUE"""),"")</f>
        <v/>
      </c>
    </row>
    <row r="8">
      <c r="C8" s="145"/>
      <c r="D8" s="148"/>
      <c r="E8" s="145"/>
      <c r="F8" s="148"/>
      <c r="G8" s="147"/>
      <c r="H8" s="146"/>
      <c r="I8" s="149"/>
      <c r="J8" s="148">
        <f t="shared" si="1"/>
        <v>0</v>
      </c>
      <c r="K8" s="150">
        <f t="shared" si="3"/>
        <v>0</v>
      </c>
      <c r="L8" s="151">
        <v>5.0</v>
      </c>
      <c r="M8" s="154"/>
      <c r="N8" s="146"/>
      <c r="O8" s="152"/>
      <c r="P8" s="153"/>
      <c r="Q8" s="154"/>
      <c r="R8" s="153"/>
      <c r="S8" s="149"/>
      <c r="T8" s="148">
        <f t="shared" si="2"/>
        <v>0</v>
      </c>
      <c r="U8" s="150">
        <f t="shared" si="4"/>
        <v>0</v>
      </c>
      <c r="V8" s="40"/>
      <c r="W8" s="41"/>
      <c r="X8" s="41" t="str">
        <f>IFERROR(__xludf.DUMMYFUNCTION("""COMPUTED_VALUE"""),"")</f>
        <v/>
      </c>
      <c r="Y8" s="41" t="str">
        <f>IFERROR(__xludf.DUMMYFUNCTION("""COMPUTED_VALUE"""),"")</f>
        <v/>
      </c>
      <c r="Z8" s="40" t="str">
        <f>IFERROR(__xludf.DUMMYFUNCTION("""COMPUTED_VALUE"""),"")</f>
        <v/>
      </c>
      <c r="AA8" s="40" t="str">
        <f>IFERROR(__xludf.DUMMYFUNCTION("""COMPUTED_VALUE"""),"")</f>
        <v/>
      </c>
    </row>
    <row r="9">
      <c r="C9" s="147"/>
      <c r="D9" s="148"/>
      <c r="E9" s="145"/>
      <c r="F9" s="148"/>
      <c r="G9" s="145"/>
      <c r="H9" s="146"/>
      <c r="I9" s="149"/>
      <c r="J9" s="148">
        <f t="shared" si="1"/>
        <v>0</v>
      </c>
      <c r="K9" s="150">
        <f t="shared" si="3"/>
        <v>0</v>
      </c>
      <c r="L9" s="151">
        <v>6.0</v>
      </c>
      <c r="M9" s="152"/>
      <c r="N9" s="146"/>
      <c r="O9" s="152"/>
      <c r="P9" s="155"/>
      <c r="Q9" s="152"/>
      <c r="R9" s="153"/>
      <c r="S9" s="150"/>
      <c r="T9" s="148">
        <f t="shared" si="2"/>
        <v>0</v>
      </c>
      <c r="U9" s="150">
        <f t="shared" si="4"/>
        <v>0</v>
      </c>
      <c r="V9" s="40"/>
      <c r="W9" s="41"/>
      <c r="X9" s="41" t="str">
        <f>IFERROR(__xludf.DUMMYFUNCTION("""COMPUTED_VALUE"""),"")</f>
        <v/>
      </c>
      <c r="Y9" s="41" t="str">
        <f>IFERROR(__xludf.DUMMYFUNCTION("""COMPUTED_VALUE"""),"")</f>
        <v/>
      </c>
      <c r="Z9" s="40" t="str">
        <f>IFERROR(__xludf.DUMMYFUNCTION("""COMPUTED_VALUE"""),"")</f>
        <v/>
      </c>
      <c r="AA9" s="40" t="str">
        <f>IFERROR(__xludf.DUMMYFUNCTION("""COMPUTED_VALUE"""),"")</f>
        <v/>
      </c>
    </row>
    <row r="10">
      <c r="C10" s="144"/>
      <c r="D10" s="132"/>
      <c r="E10" s="144"/>
      <c r="F10" s="132"/>
      <c r="G10" s="144"/>
      <c r="H10" s="143"/>
      <c r="I10" s="133"/>
      <c r="J10" s="132">
        <f t="shared" si="1"/>
        <v>0</v>
      </c>
      <c r="K10" s="134">
        <f t="shared" si="3"/>
        <v>0</v>
      </c>
      <c r="L10" s="135">
        <v>7.0</v>
      </c>
      <c r="M10" s="141"/>
      <c r="N10" s="143"/>
      <c r="O10" s="136"/>
      <c r="P10" s="142"/>
      <c r="Q10" s="141"/>
      <c r="R10" s="142"/>
      <c r="S10" s="133"/>
      <c r="T10" s="132">
        <f t="shared" si="2"/>
        <v>0</v>
      </c>
      <c r="U10" s="134">
        <f t="shared" si="4"/>
        <v>0</v>
      </c>
      <c r="V10" s="40"/>
      <c r="W10" s="41"/>
      <c r="X10" s="41" t="str">
        <f>IFERROR(__xludf.DUMMYFUNCTION("""COMPUTED_VALUE"""),"")</f>
        <v/>
      </c>
      <c r="Y10" s="41" t="str">
        <f>IFERROR(__xludf.DUMMYFUNCTION("""COMPUTED_VALUE"""),"")</f>
        <v/>
      </c>
      <c r="Z10" s="40" t="str">
        <f>IFERROR(__xludf.DUMMYFUNCTION("""COMPUTED_VALUE"""),"")</f>
        <v/>
      </c>
      <c r="AA10" s="40" t="str">
        <f>IFERROR(__xludf.DUMMYFUNCTION("""COMPUTED_VALUE"""),"")</f>
        <v/>
      </c>
    </row>
    <row r="11">
      <c r="C11" s="144"/>
      <c r="D11" s="132"/>
      <c r="E11" s="144"/>
      <c r="F11" s="143"/>
      <c r="G11" s="144"/>
      <c r="H11" s="143"/>
      <c r="I11" s="133"/>
      <c r="J11" s="132">
        <f t="shared" si="1"/>
        <v>0</v>
      </c>
      <c r="K11" s="134">
        <f t="shared" si="3"/>
        <v>0</v>
      </c>
      <c r="L11" s="135">
        <v>8.0</v>
      </c>
      <c r="M11" s="141"/>
      <c r="N11" s="143"/>
      <c r="O11" s="141"/>
      <c r="P11" s="142"/>
      <c r="Q11" s="141"/>
      <c r="R11" s="142"/>
      <c r="S11" s="134"/>
      <c r="T11" s="132">
        <f t="shared" si="2"/>
        <v>0</v>
      </c>
      <c r="U11" s="134">
        <f t="shared" si="4"/>
        <v>0</v>
      </c>
      <c r="V11" s="40"/>
      <c r="W11" s="41"/>
      <c r="X11" s="41" t="str">
        <f>IFERROR(__xludf.DUMMYFUNCTION("""COMPUTED_VALUE"""),"")</f>
        <v/>
      </c>
      <c r="Y11" s="41" t="str">
        <f>IFERROR(__xludf.DUMMYFUNCTION("""COMPUTED_VALUE"""),"")</f>
        <v/>
      </c>
      <c r="Z11" s="40" t="str">
        <f>IFERROR(__xludf.DUMMYFUNCTION("""COMPUTED_VALUE"""),"")</f>
        <v/>
      </c>
      <c r="AA11" s="40" t="str">
        <f>IFERROR(__xludf.DUMMYFUNCTION("""COMPUTED_VALUE"""),"")</f>
        <v/>
      </c>
    </row>
    <row r="12">
      <c r="C12" s="144"/>
      <c r="D12" s="132"/>
      <c r="E12" s="144"/>
      <c r="F12" s="143"/>
      <c r="G12" s="144"/>
      <c r="H12" s="143"/>
      <c r="I12" s="133"/>
      <c r="J12" s="132">
        <f t="shared" si="1"/>
        <v>0</v>
      </c>
      <c r="K12" s="134">
        <f t="shared" si="3"/>
        <v>0</v>
      </c>
      <c r="L12" s="135">
        <v>9.0</v>
      </c>
      <c r="M12" s="141"/>
      <c r="N12" s="132"/>
      <c r="O12" s="141"/>
      <c r="P12" s="142"/>
      <c r="Q12" s="141"/>
      <c r="R12" s="142"/>
      <c r="S12" s="133"/>
      <c r="T12" s="132">
        <f t="shared" si="2"/>
        <v>0</v>
      </c>
      <c r="U12" s="134">
        <f t="shared" si="4"/>
        <v>0</v>
      </c>
      <c r="V12" s="40"/>
      <c r="W12" s="41"/>
      <c r="X12" s="41" t="str">
        <f>IFERROR(__xludf.DUMMYFUNCTION("""COMPUTED_VALUE"""),"")</f>
        <v/>
      </c>
      <c r="Y12" s="41" t="str">
        <f>IFERROR(__xludf.DUMMYFUNCTION("""COMPUTED_VALUE"""),"")</f>
        <v/>
      </c>
      <c r="Z12" s="40" t="str">
        <f>IFERROR(__xludf.DUMMYFUNCTION("""COMPUTED_VALUE"""),"")</f>
        <v/>
      </c>
      <c r="AA12" s="40" t="str">
        <f>IFERROR(__xludf.DUMMYFUNCTION("""COMPUTED_VALUE"""),"")</f>
        <v/>
      </c>
    </row>
    <row r="13">
      <c r="C13" s="147"/>
      <c r="D13" s="148"/>
      <c r="E13" s="145"/>
      <c r="F13" s="146"/>
      <c r="G13" s="147"/>
      <c r="H13" s="146"/>
      <c r="I13" s="149"/>
      <c r="J13" s="148">
        <f t="shared" si="1"/>
        <v>0</v>
      </c>
      <c r="K13" s="150">
        <f t="shared" si="3"/>
        <v>0</v>
      </c>
      <c r="L13" s="151">
        <v>10.0</v>
      </c>
      <c r="M13" s="152"/>
      <c r="N13" s="146"/>
      <c r="O13" s="154"/>
      <c r="P13" s="153"/>
      <c r="Q13" s="152"/>
      <c r="R13" s="153"/>
      <c r="S13" s="149"/>
      <c r="T13" s="148">
        <f t="shared" si="2"/>
        <v>0</v>
      </c>
      <c r="U13" s="150">
        <f t="shared" si="4"/>
        <v>0</v>
      </c>
      <c r="V13" s="40"/>
      <c r="W13" s="40"/>
      <c r="X13" s="40" t="str">
        <f>IFERROR(__xludf.DUMMYFUNCTION("""COMPUTED_VALUE"""),"")</f>
        <v/>
      </c>
      <c r="Y13" s="40" t="str">
        <f>IFERROR(__xludf.DUMMYFUNCTION("""COMPUTED_VALUE"""),"")</f>
        <v/>
      </c>
      <c r="Z13" s="40" t="str">
        <f>IFERROR(__xludf.DUMMYFUNCTION("""COMPUTED_VALUE"""),"")</f>
        <v/>
      </c>
      <c r="AA13" s="40" t="str">
        <f>IFERROR(__xludf.DUMMYFUNCTION("""COMPUTED_VALUE"""),"")</f>
        <v/>
      </c>
    </row>
    <row r="14">
      <c r="C14" s="145"/>
      <c r="D14" s="148"/>
      <c r="E14" s="147"/>
      <c r="F14" s="146"/>
      <c r="G14" s="147"/>
      <c r="H14" s="146"/>
      <c r="I14" s="149"/>
      <c r="J14" s="148">
        <f t="shared" si="1"/>
        <v>0</v>
      </c>
      <c r="K14" s="150">
        <f t="shared" si="3"/>
        <v>0</v>
      </c>
      <c r="L14" s="151">
        <v>11.0</v>
      </c>
      <c r="M14" s="154"/>
      <c r="N14" s="146"/>
      <c r="O14" s="154"/>
      <c r="P14" s="153"/>
      <c r="Q14" s="152"/>
      <c r="R14" s="153"/>
      <c r="S14" s="149"/>
      <c r="T14" s="148">
        <f t="shared" si="2"/>
        <v>0</v>
      </c>
      <c r="U14" s="150">
        <f t="shared" si="4"/>
        <v>0</v>
      </c>
      <c r="V14" s="46"/>
      <c r="W14" s="46"/>
      <c r="X14" s="46" t="str">
        <f>IFERROR(__xludf.DUMMYFUNCTION("""COMPUTED_VALUE"""),"")</f>
        <v/>
      </c>
      <c r="Y14" s="46" t="str">
        <f>IFERROR(__xludf.DUMMYFUNCTION("""COMPUTED_VALUE"""),"")</f>
        <v/>
      </c>
      <c r="Z14" s="46" t="str">
        <f>IFERROR(__xludf.DUMMYFUNCTION("""COMPUTED_VALUE"""),"")</f>
        <v/>
      </c>
      <c r="AA14" s="46" t="str">
        <f>IFERROR(__xludf.DUMMYFUNCTION("""COMPUTED_VALUE"""),"")</f>
        <v/>
      </c>
    </row>
    <row r="15">
      <c r="C15" s="147"/>
      <c r="D15" s="146"/>
      <c r="E15" s="147"/>
      <c r="F15" s="148"/>
      <c r="G15" s="147"/>
      <c r="H15" s="146"/>
      <c r="I15" s="149"/>
      <c r="J15" s="148">
        <f t="shared" si="1"/>
        <v>0</v>
      </c>
      <c r="K15" s="150">
        <f t="shared" si="3"/>
        <v>0</v>
      </c>
      <c r="L15" s="151">
        <v>12.0</v>
      </c>
      <c r="M15" s="152"/>
      <c r="N15" s="148"/>
      <c r="O15" s="152"/>
      <c r="P15" s="153"/>
      <c r="Q15" s="152"/>
      <c r="R15" s="153"/>
      <c r="S15" s="150"/>
      <c r="T15" s="148">
        <f t="shared" si="2"/>
        <v>0</v>
      </c>
      <c r="U15" s="150">
        <f t="shared" si="4"/>
        <v>0</v>
      </c>
      <c r="V15" s="46"/>
      <c r="W15" s="46"/>
      <c r="X15" s="46" t="str">
        <f>IFERROR(__xludf.DUMMYFUNCTION("""COMPUTED_VALUE"""),"")</f>
        <v/>
      </c>
      <c r="Y15" s="46" t="str">
        <f>IFERROR(__xludf.DUMMYFUNCTION("""COMPUTED_VALUE"""),"")</f>
        <v/>
      </c>
      <c r="Z15" s="46" t="str">
        <f>IFERROR(__xludf.DUMMYFUNCTION("""COMPUTED_VALUE"""),"")</f>
        <v/>
      </c>
      <c r="AA15" s="46" t="str">
        <f>IFERROR(__xludf.DUMMYFUNCTION("""COMPUTED_VALUE"""),"")</f>
        <v/>
      </c>
    </row>
    <row r="16">
      <c r="C16" s="131"/>
      <c r="D16" s="143"/>
      <c r="E16" s="144"/>
      <c r="F16" s="143"/>
      <c r="G16" s="144"/>
      <c r="H16" s="132"/>
      <c r="I16" s="133"/>
      <c r="J16" s="132">
        <f t="shared" si="1"/>
        <v>0</v>
      </c>
      <c r="K16" s="134">
        <f t="shared" si="3"/>
        <v>0</v>
      </c>
      <c r="L16" s="135">
        <v>13.0</v>
      </c>
      <c r="M16" s="136"/>
      <c r="N16" s="143"/>
      <c r="O16" s="141"/>
      <c r="P16" s="142"/>
      <c r="Q16" s="141"/>
      <c r="R16" s="142"/>
      <c r="S16" s="133"/>
      <c r="T16" s="132">
        <f t="shared" si="2"/>
        <v>0</v>
      </c>
      <c r="U16" s="134">
        <f t="shared" si="4"/>
        <v>0</v>
      </c>
      <c r="V16" s="46"/>
      <c r="W16" s="46"/>
      <c r="X16" s="46"/>
      <c r="Y16" s="46"/>
      <c r="Z16" s="46"/>
      <c r="AA16" s="46"/>
    </row>
    <row r="17">
      <c r="C17" s="131"/>
      <c r="D17" s="143"/>
      <c r="E17" s="144"/>
      <c r="F17" s="143"/>
      <c r="G17" s="144"/>
      <c r="H17" s="143"/>
      <c r="I17" s="133"/>
      <c r="J17" s="132">
        <f t="shared" si="1"/>
        <v>0</v>
      </c>
      <c r="K17" s="134">
        <f t="shared" si="3"/>
        <v>0</v>
      </c>
      <c r="L17" s="135">
        <v>14.0</v>
      </c>
      <c r="M17" s="136"/>
      <c r="N17" s="143"/>
      <c r="O17" s="136"/>
      <c r="P17" s="142"/>
      <c r="Q17" s="141"/>
      <c r="R17" s="142"/>
      <c r="S17" s="133"/>
      <c r="T17" s="132">
        <f t="shared" si="2"/>
        <v>0</v>
      </c>
      <c r="U17" s="134">
        <f t="shared" si="4"/>
        <v>0</v>
      </c>
      <c r="V17" s="40"/>
      <c r="W17" s="40"/>
      <c r="X17" s="40"/>
      <c r="Y17" s="40"/>
      <c r="Z17" s="46"/>
      <c r="AA17" s="46"/>
    </row>
    <row r="18">
      <c r="C18" s="144"/>
      <c r="D18" s="143"/>
      <c r="E18" s="144"/>
      <c r="F18" s="143"/>
      <c r="G18" s="144"/>
      <c r="H18" s="143"/>
      <c r="I18" s="133"/>
      <c r="J18" s="132">
        <f t="shared" si="1"/>
        <v>0</v>
      </c>
      <c r="K18" s="134">
        <f t="shared" si="3"/>
        <v>0</v>
      </c>
      <c r="L18" s="135">
        <v>15.0</v>
      </c>
      <c r="M18" s="136"/>
      <c r="N18" s="143"/>
      <c r="O18" s="141"/>
      <c r="P18" s="142"/>
      <c r="Q18" s="141"/>
      <c r="R18" s="142"/>
      <c r="S18" s="133"/>
      <c r="T18" s="132">
        <f t="shared" si="2"/>
        <v>0</v>
      </c>
      <c r="U18" s="134">
        <f t="shared" si="4"/>
        <v>0</v>
      </c>
      <c r="V18" s="40" t="str">
        <f>IFERROR(__xludf.DUMMYFUNCTION("IF(NOT(EQ(C38, """")), SPLIT(C38, "";""), """")"),"")</f>
        <v/>
      </c>
      <c r="W18" s="47"/>
      <c r="X18" s="40"/>
      <c r="Y18" s="40"/>
      <c r="Z18" s="46"/>
      <c r="AA18" s="46"/>
    </row>
    <row r="19">
      <c r="C19" s="147"/>
      <c r="D19" s="146"/>
      <c r="E19" s="147"/>
      <c r="F19" s="146"/>
      <c r="G19" s="147"/>
      <c r="H19" s="146"/>
      <c r="I19" s="149"/>
      <c r="J19" s="148">
        <f t="shared" si="1"/>
        <v>0</v>
      </c>
      <c r="K19" s="150">
        <f t="shared" si="3"/>
        <v>0</v>
      </c>
      <c r="L19" s="151">
        <v>16.0</v>
      </c>
      <c r="M19" s="154"/>
      <c r="N19" s="146"/>
      <c r="O19" s="152"/>
      <c r="P19" s="153"/>
      <c r="Q19" s="152"/>
      <c r="R19" s="153"/>
      <c r="S19" s="149"/>
      <c r="T19" s="148">
        <f t="shared" si="2"/>
        <v>0</v>
      </c>
      <c r="U19" s="150">
        <f t="shared" si="4"/>
        <v>0</v>
      </c>
      <c r="V19" s="40" t="str">
        <f t="shared" ref="V19:Y19" si="5">TRIM(V18)</f>
        <v/>
      </c>
      <c r="W19" s="40" t="str">
        <f t="shared" si="5"/>
        <v/>
      </c>
      <c r="X19" s="40" t="str">
        <f t="shared" si="5"/>
        <v/>
      </c>
      <c r="Y19" s="40" t="str">
        <f t="shared" si="5"/>
        <v/>
      </c>
      <c r="Z19" s="46"/>
      <c r="AA19" s="46"/>
    </row>
    <row r="20">
      <c r="C20" s="145"/>
      <c r="D20" s="146"/>
      <c r="E20" s="147"/>
      <c r="F20" s="146"/>
      <c r="G20" s="147"/>
      <c r="H20" s="146"/>
      <c r="I20" s="149"/>
      <c r="J20" s="148">
        <f t="shared" si="1"/>
        <v>0</v>
      </c>
      <c r="K20" s="150">
        <f t="shared" si="3"/>
        <v>0</v>
      </c>
      <c r="L20" s="151">
        <v>17.0</v>
      </c>
      <c r="M20" s="154"/>
      <c r="N20" s="146"/>
      <c r="O20" s="152"/>
      <c r="P20" s="153"/>
      <c r="Q20" s="152"/>
      <c r="R20" s="153"/>
      <c r="S20" s="149"/>
      <c r="T20" s="148">
        <f t="shared" si="2"/>
        <v>0</v>
      </c>
      <c r="U20" s="150">
        <f t="shared" si="4"/>
        <v>0</v>
      </c>
      <c r="V20" s="40" t="b">
        <f t="shared" ref="V20:Y20" si="6">EQ(V19,"")</f>
        <v>1</v>
      </c>
      <c r="W20" s="40" t="b">
        <f t="shared" si="6"/>
        <v>1</v>
      </c>
      <c r="X20" s="40" t="b">
        <f t="shared" si="6"/>
        <v>1</v>
      </c>
      <c r="Y20" s="40" t="b">
        <f t="shared" si="6"/>
        <v>1</v>
      </c>
      <c r="Z20" s="46"/>
      <c r="AA20" s="46"/>
    </row>
    <row r="21">
      <c r="C21" s="147"/>
      <c r="D21" s="146"/>
      <c r="E21" s="147"/>
      <c r="F21" s="146"/>
      <c r="G21" s="147"/>
      <c r="H21" s="146"/>
      <c r="I21" s="149"/>
      <c r="J21" s="148">
        <f t="shared" si="1"/>
        <v>0</v>
      </c>
      <c r="K21" s="150">
        <f t="shared" si="3"/>
        <v>0</v>
      </c>
      <c r="L21" s="151">
        <v>18.0</v>
      </c>
      <c r="M21" s="152"/>
      <c r="N21" s="148"/>
      <c r="O21" s="152"/>
      <c r="P21" s="153"/>
      <c r="Q21" s="152"/>
      <c r="R21" s="153"/>
      <c r="S21" s="149"/>
      <c r="T21" s="148">
        <f t="shared" si="2"/>
        <v>0</v>
      </c>
      <c r="U21" s="150">
        <f t="shared" si="4"/>
        <v>0</v>
      </c>
      <c r="V21" s="57" t="b">
        <f>EQ(UPPER(C2), LEFT(UPPER(V19), LEN(C2)))</f>
        <v>1</v>
      </c>
      <c r="W21" s="57" t="b">
        <f>EQ(UPPER(C2), LEFT(UPPER(W19), LEN(C2)))</f>
        <v>1</v>
      </c>
      <c r="X21" s="57" t="b">
        <f>EQ(UPPER(C2), LEFT(UPPER(X19), LEN(C2)))</f>
        <v>1</v>
      </c>
      <c r="Y21" s="57" t="b">
        <f>EQ(UPPER(C2), LEFT(UPPER(Y19), LEN(C2)))</f>
        <v>1</v>
      </c>
      <c r="Z21" s="46"/>
      <c r="AA21" s="46"/>
    </row>
    <row r="22">
      <c r="C22" s="144"/>
      <c r="D22" s="143"/>
      <c r="E22" s="144"/>
      <c r="F22" s="143"/>
      <c r="G22" s="144"/>
      <c r="H22" s="143"/>
      <c r="I22" s="134"/>
      <c r="J22" s="132">
        <f t="shared" si="1"/>
        <v>0</v>
      </c>
      <c r="K22" s="134">
        <f t="shared" si="3"/>
        <v>0</v>
      </c>
      <c r="L22" s="135">
        <v>19.0</v>
      </c>
      <c r="M22" s="141"/>
      <c r="N22" s="143"/>
      <c r="O22" s="136"/>
      <c r="P22" s="142"/>
      <c r="Q22" s="141"/>
      <c r="R22" s="142"/>
      <c r="S22" s="133"/>
      <c r="T22" s="132">
        <f t="shared" si="2"/>
        <v>0</v>
      </c>
      <c r="U22" s="134">
        <f t="shared" si="4"/>
        <v>0</v>
      </c>
      <c r="V22" s="57" t="b">
        <f>EQ(UPPER(M2), LEFT(UPPER(V19), LEN(M2)))</f>
        <v>1</v>
      </c>
      <c r="W22" s="57" t="b">
        <f>EQ(UPPER(M2), LEFT(UPPER(W19), LEN(M2)))</f>
        <v>1</v>
      </c>
      <c r="X22" s="40" t="b">
        <f>EQ(UPPER(M2), LEFT(UPPER(X19), LEN(M2)))</f>
        <v>1</v>
      </c>
      <c r="Y22" s="57" t="b">
        <f>EQ(UPPER(M2), LEFT(UPPER(Y19), LEN(M2)))</f>
        <v>1</v>
      </c>
      <c r="Z22" s="46"/>
      <c r="AA22" s="46"/>
    </row>
    <row r="23">
      <c r="C23" s="131"/>
      <c r="D23" s="143"/>
      <c r="E23" s="144"/>
      <c r="F23" s="143"/>
      <c r="G23" s="144"/>
      <c r="H23" s="143"/>
      <c r="I23" s="133"/>
      <c r="J23" s="132">
        <f t="shared" si="1"/>
        <v>0</v>
      </c>
      <c r="K23" s="134">
        <f t="shared" si="3"/>
        <v>0</v>
      </c>
      <c r="L23" s="135">
        <v>20.0</v>
      </c>
      <c r="M23" s="136"/>
      <c r="N23" s="143"/>
      <c r="O23" s="141"/>
      <c r="P23" s="142"/>
      <c r="Q23" s="141"/>
      <c r="R23" s="142"/>
      <c r="S23" s="134"/>
      <c r="T23" s="132">
        <f t="shared" si="2"/>
        <v>0</v>
      </c>
      <c r="U23" s="134">
        <f t="shared" si="4"/>
        <v>0</v>
      </c>
      <c r="V23" s="57" t="b">
        <f>IFERROR(__xludf.DUMMYFUNCTION("IFERROR(OR(REGEXEXTRACT(V19, ""[0-9]+ :|[0-9]+:""), True), False)"),FALSE)</f>
        <v>0</v>
      </c>
      <c r="W23" s="57" t="b">
        <f>IFERROR(__xludf.DUMMYFUNCTION("IFERROR(OR(REGEXEXTRACT(W19, ""[0-9]+ :|[0-9]+:""), True), False)"),FALSE)</f>
        <v>0</v>
      </c>
      <c r="X23" s="57" t="b">
        <f>IFERROR(__xludf.DUMMYFUNCTION("IFERROR(OR(REGEXEXTRACT(X19, ""[0-9]+ :|[0-9]+:""), True), False)"),FALSE)</f>
        <v>0</v>
      </c>
      <c r="Y23" s="57" t="b">
        <f>IFERROR(__xludf.DUMMYFUNCTION("IFERROR(OR(REGEXEXTRACT(Y19, ""[0-9]+ :|[0-9]+:""), True), False)"),FALSE)</f>
        <v>0</v>
      </c>
      <c r="Z23" s="46"/>
      <c r="AA23" s="46"/>
    </row>
    <row r="24">
      <c r="C24" s="144"/>
      <c r="D24" s="143"/>
      <c r="E24" s="144"/>
      <c r="F24" s="132"/>
      <c r="G24" s="144"/>
      <c r="H24" s="143"/>
      <c r="I24" s="133" t="s">
        <v>59</v>
      </c>
      <c r="J24" s="132">
        <f t="shared" ref="J24:J27" si="8">IF(COUNTA(C24:H24)&lt;=1, SUM(C24:H24), "TEAM.ERR")</f>
        <v>0</v>
      </c>
      <c r="K24" s="134">
        <f t="shared" si="3"/>
        <v>0</v>
      </c>
      <c r="L24" s="157" t="s">
        <v>60</v>
      </c>
      <c r="M24" s="141"/>
      <c r="N24" s="143"/>
      <c r="O24" s="141"/>
      <c r="P24" s="142"/>
      <c r="Q24" s="141"/>
      <c r="R24" s="142"/>
      <c r="S24" s="133" t="s">
        <v>59</v>
      </c>
      <c r="T24" s="132">
        <f t="shared" ref="T24:T27" si="9">IF(COUNTA(M24:R24)&lt;=1, SUM(M24:R24), "TEAM.ERR")</f>
        <v>0</v>
      </c>
      <c r="U24" s="134">
        <f t="shared" si="4"/>
        <v>0</v>
      </c>
      <c r="V24" s="57" t="b">
        <f t="shared" ref="V24:W24" si="7">IFERROR(IF(V21, AND(FIND(UPPER(C3), UPPER(V19)) &gt; 0, NOT(EQ(C3,""))), AND(FIND(UPPER(M3), UPPER(V19)) &gt; 0, NOT(EQ(M3,"")))), FALSE)</f>
        <v>0</v>
      </c>
      <c r="W24" s="57" t="b">
        <f t="shared" si="7"/>
        <v>0</v>
      </c>
      <c r="X24" s="57" t="b">
        <f>IFERROR(IF(X21, AND(FIND(UPPER(C3), UPPER(X19)) &gt; 0, NOT(EQ(C3,""))), AND(FIND(UPPER(M3), UPPER(X19)) &gt; 0, NOT(EQ(M3,"")))), FALSE)</f>
        <v>0</v>
      </c>
      <c r="Y24" s="57" t="b">
        <f>IFERROR(IF(Y21, AND(FIND(UPPER(C3), UPPER(Y19)) &gt; 0, NOT(EQ(C3,""))), AND(FIND(UPPER(M3), UPPER(Y19)) &gt; 0, NOT(EQ(M3,"")))), FALSE)</f>
        <v>0</v>
      </c>
      <c r="Z24" s="46"/>
      <c r="AA24" s="46"/>
    </row>
    <row r="25">
      <c r="C25" s="144"/>
      <c r="D25" s="132"/>
      <c r="E25" s="144"/>
      <c r="F25" s="143"/>
      <c r="G25" s="144"/>
      <c r="H25" s="143"/>
      <c r="I25" s="133" t="s">
        <v>59</v>
      </c>
      <c r="J25" s="132">
        <f t="shared" si="8"/>
        <v>0</v>
      </c>
      <c r="K25" s="134">
        <f t="shared" si="3"/>
        <v>0</v>
      </c>
      <c r="L25" s="85"/>
      <c r="M25" s="141"/>
      <c r="N25" s="143"/>
      <c r="O25" s="141"/>
      <c r="P25" s="142"/>
      <c r="Q25" s="141"/>
      <c r="R25" s="142"/>
      <c r="S25" s="133" t="s">
        <v>59</v>
      </c>
      <c r="T25" s="132">
        <f t="shared" si="9"/>
        <v>0</v>
      </c>
      <c r="U25" s="134">
        <f t="shared" si="4"/>
        <v>0</v>
      </c>
      <c r="V25" s="57" t="b">
        <f t="shared" ref="V25:W25" si="10">IFERROR(IF(V21, AND(FIND(UPPER(D3), UPPER(V19)) &gt; 0, NOT(EQ(D3,""))), AND(FIND(UPPER(N3), UPPER(V19)) &gt; 0, NOT(EQ(N3,"")))), FALSE)</f>
        <v>0</v>
      </c>
      <c r="W25" s="57" t="b">
        <f t="shared" si="10"/>
        <v>0</v>
      </c>
      <c r="X25" s="57" t="b">
        <f>IFERROR(IF(X21, AND(FIND(UPPER(D3), UPPER(X19)) &gt; 0, NOT(EQ(D3,""))), AND(FIND(UPPER(N3), UPPER(X19)) &gt; 0, NOT(EQ(N3,"")))), FALSE)</f>
        <v>0</v>
      </c>
      <c r="Y25" s="57" t="b">
        <f>IFERROR(IF(Y21, AND(FIND(UPPER(D3), UPPER(Y19)) &gt; 0, NOT(EQ(D3,""))), AND(FIND(UPPER(N3), UPPER(Y19)) &gt; 0, NOT(EQ(N3,"")))), FALSE)</f>
        <v>0</v>
      </c>
      <c r="Z25" s="46"/>
      <c r="AA25" s="46"/>
    </row>
    <row r="26">
      <c r="C26" s="144"/>
      <c r="D26" s="143"/>
      <c r="E26" s="144"/>
      <c r="F26" s="143"/>
      <c r="G26" s="144"/>
      <c r="H26" s="143"/>
      <c r="I26" s="133" t="s">
        <v>59</v>
      </c>
      <c r="J26" s="132">
        <f t="shared" si="8"/>
        <v>0</v>
      </c>
      <c r="K26" s="134">
        <f t="shared" si="3"/>
        <v>0</v>
      </c>
      <c r="L26" s="85"/>
      <c r="M26" s="141"/>
      <c r="N26" s="143"/>
      <c r="O26" s="141"/>
      <c r="P26" s="142"/>
      <c r="Q26" s="141"/>
      <c r="R26" s="142"/>
      <c r="S26" s="133" t="s">
        <v>59</v>
      </c>
      <c r="T26" s="132">
        <f t="shared" si="9"/>
        <v>0</v>
      </c>
      <c r="U26" s="134">
        <f t="shared" si="4"/>
        <v>0</v>
      </c>
      <c r="V26" s="57" t="b">
        <f t="shared" ref="V26:W26" si="11">IFERROR(IF(V21, AND(FIND(UPPER(E3), UPPER(V19)) &gt; 0, NOT(EQ(E3,""))), AND(FIND(UPPER(O3), UPPER(V19)) &gt; 0, NOT(EQ(O3,"")))), FALSE)</f>
        <v>0</v>
      </c>
      <c r="W26" s="57" t="b">
        <f t="shared" si="11"/>
        <v>0</v>
      </c>
      <c r="X26" s="57" t="b">
        <f>IFERROR(IF(X21, AND(FIND(UPPER(E3), UPPER(X19)) &gt; 0, NOT(EQ(E3,""))), AND(FIND(UPPER(O3), UPPER(X19)) &gt; 0, NOT(EQ(O3,"")))), FALSE)</f>
        <v>0</v>
      </c>
      <c r="Y26" s="57" t="b">
        <f>IFERROR(IF(Y21, AND(FIND(UPPER(E3), UPPER(Y19)) &gt; 0, NOT(EQ(E3,""))), AND(FIND(UPPER(O3), UPPER(Y19)) &gt; 0, NOT(EQ(O3,"")))), FALSE)</f>
        <v>0</v>
      </c>
      <c r="Z26" s="46"/>
      <c r="AA26" s="46"/>
    </row>
    <row r="27">
      <c r="C27" s="144"/>
      <c r="D27" s="143"/>
      <c r="E27" s="144"/>
      <c r="F27" s="143"/>
      <c r="G27" s="144"/>
      <c r="H27" s="143"/>
      <c r="I27" s="133" t="s">
        <v>59</v>
      </c>
      <c r="J27" s="132">
        <f t="shared" si="8"/>
        <v>0</v>
      </c>
      <c r="K27" s="134">
        <f t="shared" si="3"/>
        <v>0</v>
      </c>
      <c r="L27" s="101"/>
      <c r="M27" s="141"/>
      <c r="N27" s="143"/>
      <c r="O27" s="141"/>
      <c r="P27" s="142"/>
      <c r="Q27" s="141"/>
      <c r="R27" s="142"/>
      <c r="S27" s="133" t="s">
        <v>59</v>
      </c>
      <c r="T27" s="132">
        <f t="shared" si="9"/>
        <v>0</v>
      </c>
      <c r="U27" s="134">
        <f t="shared" si="4"/>
        <v>0</v>
      </c>
      <c r="V27" s="57" t="b">
        <f t="shared" ref="V27:W27" si="12">IFERROR(IF(V21, AND(FIND(UPPER(F3), UPPER(V19)) &gt; 0, NOT(EQ(F3,""))), AND(FIND(UPPER(P3), UPPER(V19)) &gt; 0, NOT(EQ(P3,"")))), FALSE)</f>
        <v>0</v>
      </c>
      <c r="W27" s="57" t="b">
        <f t="shared" si="12"/>
        <v>0</v>
      </c>
      <c r="X27" s="57" t="b">
        <f>IFERROR(IF(X21, AND(FIND(UPPER(F3), UPPER(X19)) &gt; 0, NOT(EQ(F3,""))), AND(FIND(UPPER(P3), UPPER(X19)) &gt; 0, NOT(EQ(P3,"")))), FALSE)</f>
        <v>0</v>
      </c>
      <c r="Y27" s="57" t="b">
        <f>IFERROR(IF(Y21, AND(FIND(UPPER(F3), UPPER(Y19)) &gt; 0, NOT(EQ(F3,""))), AND(FIND(UPPER(P3), UPPER(Y19)) &gt; 0, NOT(EQ(P3,"")))), FALSE)</f>
        <v>0</v>
      </c>
      <c r="Z27" s="46"/>
      <c r="AA27" s="46"/>
    </row>
    <row r="28">
      <c r="B28" s="70">
        <v>15.0</v>
      </c>
      <c r="C28" s="71">
        <f t="shared" ref="C28:H28" si="13">COUNTIF(C4:C27, "=15")</f>
        <v>0</v>
      </c>
      <c r="D28" s="72">
        <f t="shared" si="13"/>
        <v>0</v>
      </c>
      <c r="E28" s="71">
        <f t="shared" si="13"/>
        <v>0</v>
      </c>
      <c r="F28" s="72">
        <f t="shared" si="13"/>
        <v>0</v>
      </c>
      <c r="G28" s="71">
        <f t="shared" si="13"/>
        <v>0</v>
      </c>
      <c r="H28" s="72">
        <f t="shared" si="13"/>
        <v>0</v>
      </c>
      <c r="I28" s="73" t="s">
        <v>61</v>
      </c>
      <c r="J28" s="74"/>
      <c r="K28" s="75" t="s">
        <v>62</v>
      </c>
      <c r="L28" s="76">
        <v>15.0</v>
      </c>
      <c r="M28" s="77">
        <f t="shared" ref="M28:R28" si="14">COUNTIF(M4:M27, "=15")</f>
        <v>0</v>
      </c>
      <c r="N28" s="78">
        <f t="shared" si="14"/>
        <v>0</v>
      </c>
      <c r="O28" s="77">
        <f t="shared" si="14"/>
        <v>0</v>
      </c>
      <c r="P28" s="78">
        <f t="shared" si="14"/>
        <v>0</v>
      </c>
      <c r="Q28" s="77">
        <f t="shared" si="14"/>
        <v>0</v>
      </c>
      <c r="R28" s="78">
        <f t="shared" si="14"/>
        <v>0</v>
      </c>
      <c r="S28" s="79" t="s">
        <v>61</v>
      </c>
      <c r="T28" s="74"/>
      <c r="U28" s="80" t="s">
        <v>62</v>
      </c>
      <c r="V28" s="57" t="b">
        <f t="shared" ref="V28:W28" si="15">IFERROR(IF(V21, AND(FIND(UPPER(G3), UPPER(V19)) &gt; 0, NOT(EQ(G3,""))), AND(FIND(UPPER(Q3), UPPER(V19)) &gt; 0, NOT(EQ(Q3,"")))), FALSE)</f>
        <v>0</v>
      </c>
      <c r="W28" s="57" t="b">
        <f t="shared" si="15"/>
        <v>0</v>
      </c>
      <c r="X28" s="57" t="b">
        <f>IFERROR(IF(X21, AND(FIND(UPPER(G3), UPPER(X19)) &gt; 0, NOT(EQ(G3,""))), AND(FIND(UPPER(Q3), UPPER(X19)) &gt; 0, NOT(EQ(Q3,"")))), FALSE)</f>
        <v>0</v>
      </c>
      <c r="Y28" s="57" t="b">
        <f>IFERROR(IF(Y21, AND(FIND(UPPER(G3), UPPER(Y19)) &gt; 0, NOT(EQ(G3,""))), AND(FIND(UPPER(Q3), UPPER(Y19)) &gt; 0, NOT(EQ(Q3,"")))), FALSE)</f>
        <v>0</v>
      </c>
      <c r="Z28" s="46"/>
      <c r="AA28" s="46"/>
    </row>
    <row r="29">
      <c r="B29" s="81">
        <v>10.0</v>
      </c>
      <c r="C29" s="82">
        <f t="shared" ref="C29:H29" si="16">COUNTIF(C4:C27, "=10")</f>
        <v>0</v>
      </c>
      <c r="D29" s="83">
        <f t="shared" si="16"/>
        <v>0</v>
      </c>
      <c r="E29" s="82">
        <f t="shared" si="16"/>
        <v>0</v>
      </c>
      <c r="F29" s="83">
        <f t="shared" si="16"/>
        <v>0</v>
      </c>
      <c r="G29" s="82">
        <f t="shared" si="16"/>
        <v>0</v>
      </c>
      <c r="H29" s="83">
        <f t="shared" si="16"/>
        <v>0</v>
      </c>
      <c r="I29" s="84"/>
      <c r="J29" s="25"/>
      <c r="K29" s="85"/>
      <c r="L29" s="86">
        <v>10.0</v>
      </c>
      <c r="M29" s="87">
        <f t="shared" ref="M29:R29" si="17">COUNTIF(M4:M27, "=10")</f>
        <v>0</v>
      </c>
      <c r="N29" s="88">
        <f t="shared" si="17"/>
        <v>0</v>
      </c>
      <c r="O29" s="87">
        <f t="shared" si="17"/>
        <v>0</v>
      </c>
      <c r="P29" s="88">
        <f t="shared" si="17"/>
        <v>0</v>
      </c>
      <c r="Q29" s="87">
        <f t="shared" si="17"/>
        <v>0</v>
      </c>
      <c r="R29" s="88">
        <f t="shared" si="17"/>
        <v>0</v>
      </c>
      <c r="S29" s="84"/>
      <c r="T29" s="25"/>
      <c r="U29" s="85"/>
      <c r="V29" s="57" t="b">
        <f>IFERROR(IF(V21, AND(FIND(UPPER(H3), UPPER(V19)) &gt; 0, NOT(EQ(H3,""))), AND(FIND(UPPER(R3), UPPER(V19)) &gt; 0, NOT(EQ(R3,"")))), FALSE)</f>
        <v>0</v>
      </c>
      <c r="W29" s="57" t="b">
        <f>IFERROR(IF(W21, AND(FIND(UPPER(C3), UPPER(W19)) &gt; 0, NOT(EQ(C3,""))), AND(FIND(UPPER(M3), UPPER(W19)) &gt; 0, NOT(EQ(M3,"")))), FALSE)</f>
        <v>0</v>
      </c>
      <c r="X29" s="57" t="b">
        <f>IFERROR(IF(X21, AND(FIND(UPPER(H3), UPPER(X19)) &gt; 0, NOT(EQ(H3,""))), AND(FIND(UPPER(R3), UPPER(X19)) &gt; 0, NOT(EQ(R3,"")))), FALSE)</f>
        <v>0</v>
      </c>
      <c r="Y29" s="57" t="b">
        <f>IFERROR(IF(Y21, AND(FIND(UPPER(H3), UPPER(Y19)) &gt; 0, NOT(EQ(H3,""))), AND(FIND(UPPER(R3), UPPER(Y19)) &gt; 0, NOT(EQ(R3,"")))), FALSE)</f>
        <v>0</v>
      </c>
      <c r="Z29" s="46"/>
      <c r="AA29" s="46"/>
    </row>
    <row r="30">
      <c r="B30" s="81">
        <v>-5.0</v>
      </c>
      <c r="C30" s="89">
        <f t="shared" ref="C30:H30" si="18">COUNTIF(C4:C27, "=-5")</f>
        <v>0</v>
      </c>
      <c r="D30" s="90">
        <f t="shared" si="18"/>
        <v>0</v>
      </c>
      <c r="E30" s="89">
        <f t="shared" si="18"/>
        <v>0</v>
      </c>
      <c r="F30" s="90">
        <f t="shared" si="18"/>
        <v>0</v>
      </c>
      <c r="G30" s="89">
        <f t="shared" si="18"/>
        <v>0</v>
      </c>
      <c r="H30" s="90">
        <f t="shared" si="18"/>
        <v>0</v>
      </c>
      <c r="I30" s="91">
        <f>sum(I4:I23)</f>
        <v>0</v>
      </c>
      <c r="J30" s="25"/>
      <c r="K30" s="92">
        <f>IFERROR(I30/SUM(C28:G29), 0)</f>
        <v>0</v>
      </c>
      <c r="L30" s="86">
        <v>-5.0</v>
      </c>
      <c r="M30" s="93">
        <f t="shared" ref="M30:R30" si="19">COUNTIF(M4:M27, "=-5")</f>
        <v>0</v>
      </c>
      <c r="N30" s="94">
        <f t="shared" si="19"/>
        <v>0</v>
      </c>
      <c r="O30" s="93">
        <f t="shared" si="19"/>
        <v>0</v>
      </c>
      <c r="P30" s="94">
        <f t="shared" si="19"/>
        <v>0</v>
      </c>
      <c r="Q30" s="93">
        <f t="shared" si="19"/>
        <v>0</v>
      </c>
      <c r="R30" s="94">
        <f t="shared" si="19"/>
        <v>0</v>
      </c>
      <c r="S30" s="95">
        <f>sum(S4:S23)</f>
        <v>0</v>
      </c>
      <c r="T30" s="25"/>
      <c r="U30" s="96">
        <f>IFERROR(S30/SUM(M28:Q29), 0)</f>
        <v>0</v>
      </c>
      <c r="V30" s="57" t="b">
        <f t="shared" ref="V30:W30" si="20">AND(IF(AND(COUNTIF(V24:V29, TRUE)=2, IFERROR(FIND("-", V19) &gt; 0, TRUE)), TRUE, IF(AND(COUNTIF(V24:V29, TRUE)=1, IFERROR(FIND("-", V19) &gt; 0, FALSE)), TRUE, FALSE)),V23)</f>
        <v>0</v>
      </c>
      <c r="W30" s="57" t="b">
        <f t="shared" si="20"/>
        <v>0</v>
      </c>
      <c r="X30" s="57" t="b">
        <f>AND(IF(AND(COUNTIF(X24:X29, TRUE)= 2, IFERROR(FIND("-", X19) &gt; 0, TRUE)), TRUE, IF(AND(COUNTIF(X24:X29,TRUE)=1, IFERROR(FIND("-", X19) &gt; 0, FALSE)), TRUE, FALSE)),X23)</f>
        <v>0</v>
      </c>
      <c r="Y30" s="57" t="b">
        <f>AND(IF(AND(COUNTIF(Y24:Y29, TRUE)=2, IFERROR(FIND("-", Y19) &gt; 0, TRUE)), TRUE, IF(AND(COUNTIF(Y24:Y29, TRUE)=1, IFERROR(FIND("-", Y19) &gt; 0, FALSE)), TRUE, FALSE)),Y23)</f>
        <v>0</v>
      </c>
      <c r="Z30" s="46"/>
      <c r="AA30" s="46"/>
    </row>
    <row r="31">
      <c r="B31" s="97" t="s">
        <v>63</v>
      </c>
      <c r="C31" s="98">
        <f t="shared" ref="C31:H31" si="21">(C28*15)+(C29*10)+(C30*-5)</f>
        <v>0</v>
      </c>
      <c r="D31" s="99">
        <f t="shared" si="21"/>
        <v>0</v>
      </c>
      <c r="E31" s="98">
        <f t="shared" si="21"/>
        <v>0</v>
      </c>
      <c r="F31" s="99">
        <f t="shared" si="21"/>
        <v>0</v>
      </c>
      <c r="G31" s="98">
        <f t="shared" si="21"/>
        <v>0</v>
      </c>
      <c r="H31" s="99">
        <f t="shared" si="21"/>
        <v>0</v>
      </c>
      <c r="I31" s="100"/>
      <c r="J31" s="69"/>
      <c r="K31" s="101"/>
      <c r="L31" s="102" t="s">
        <v>63</v>
      </c>
      <c r="M31" s="103">
        <f t="shared" ref="M31:R31" si="22">(M28*15)+(M29*10)+(M30*-5)</f>
        <v>0</v>
      </c>
      <c r="N31" s="99">
        <f t="shared" si="22"/>
        <v>0</v>
      </c>
      <c r="O31" s="103">
        <f t="shared" si="22"/>
        <v>0</v>
      </c>
      <c r="P31" s="99">
        <f t="shared" si="22"/>
        <v>0</v>
      </c>
      <c r="Q31" s="103">
        <f t="shared" si="22"/>
        <v>0</v>
      </c>
      <c r="R31" s="99">
        <f t="shared" si="22"/>
        <v>0</v>
      </c>
      <c r="S31" s="100"/>
      <c r="T31" s="69"/>
      <c r="U31" s="101"/>
      <c r="V31" s="40" t="b">
        <f t="shared" ref="V31:Y31" si="23">OR(AND(V30, OR(V21,V22)),V20)</f>
        <v>1</v>
      </c>
      <c r="W31" s="40" t="b">
        <f t="shared" si="23"/>
        <v>1</v>
      </c>
      <c r="X31" s="40" t="b">
        <f t="shared" si="23"/>
        <v>1</v>
      </c>
      <c r="Y31" s="40" t="b">
        <f t="shared" si="23"/>
        <v>1</v>
      </c>
      <c r="Z31" s="46"/>
      <c r="AA31" s="46"/>
    </row>
    <row r="32">
      <c r="B32" s="104">
        <f>K27</f>
        <v>0</v>
      </c>
      <c r="I32" s="25"/>
      <c r="J32" s="105" t="s">
        <v>64</v>
      </c>
      <c r="K32" s="106"/>
      <c r="L32" s="106"/>
      <c r="M32" s="74"/>
      <c r="N32" s="107">
        <f>U27</f>
        <v>0</v>
      </c>
      <c r="O32" s="106"/>
      <c r="P32" s="106"/>
      <c r="Q32" s="106"/>
      <c r="R32" s="106"/>
      <c r="S32" s="106"/>
      <c r="T32" s="106"/>
      <c r="U32" s="74"/>
      <c r="V32" s="40" t="b">
        <f>AND(V31:Y31)</f>
        <v>1</v>
      </c>
      <c r="W32" s="40"/>
      <c r="X32" s="40"/>
      <c r="Y32" s="40"/>
      <c r="Z32" s="46"/>
      <c r="AA32" s="46"/>
    </row>
    <row r="33">
      <c r="B33" s="84"/>
      <c r="I33" s="25"/>
      <c r="J33" s="84"/>
      <c r="M33" s="25"/>
      <c r="N33" s="84"/>
      <c r="U33" s="25"/>
      <c r="V33" s="40"/>
      <c r="W33" s="40"/>
      <c r="X33" s="40"/>
      <c r="Y33" s="40"/>
      <c r="Z33" s="46"/>
      <c r="AA33" s="46"/>
    </row>
    <row r="34">
      <c r="B34" s="100"/>
      <c r="C34" s="109"/>
      <c r="D34" s="109"/>
      <c r="E34" s="109"/>
      <c r="F34" s="109"/>
      <c r="G34" s="109"/>
      <c r="H34" s="109"/>
      <c r="I34" s="69"/>
      <c r="J34" s="100"/>
      <c r="K34" s="109"/>
      <c r="L34" s="109"/>
      <c r="M34" s="69"/>
      <c r="N34" s="100"/>
      <c r="O34" s="109"/>
      <c r="P34" s="109"/>
      <c r="Q34" s="109"/>
      <c r="R34" s="109"/>
      <c r="S34" s="109"/>
      <c r="T34" s="109"/>
      <c r="U34" s="69"/>
      <c r="V34" s="46"/>
      <c r="W34" s="46"/>
      <c r="X34" s="46"/>
      <c r="Y34" s="46"/>
      <c r="Z34" s="46"/>
      <c r="AA34" s="46"/>
    </row>
    <row r="35">
      <c r="V35" s="46"/>
      <c r="W35" s="46"/>
      <c r="X35" s="46"/>
      <c r="Y35" s="46"/>
      <c r="Z35" s="46"/>
      <c r="AA35" s="40"/>
    </row>
    <row r="36">
      <c r="V36" s="46"/>
      <c r="W36" s="46"/>
      <c r="X36" s="46"/>
      <c r="Y36" s="46"/>
      <c r="Z36" s="46"/>
      <c r="AA36" s="40"/>
    </row>
    <row r="37">
      <c r="C37" s="156"/>
      <c r="V37" s="46"/>
      <c r="W37" s="46"/>
      <c r="X37" s="46"/>
      <c r="Y37" s="46"/>
      <c r="Z37" s="46"/>
      <c r="AA37" s="40"/>
    </row>
    <row r="38">
      <c r="C38" s="111"/>
      <c r="V38" s="46"/>
      <c r="W38" s="46"/>
      <c r="X38" s="46"/>
      <c r="Y38" s="46"/>
      <c r="Z38" s="46"/>
      <c r="AA38" s="40"/>
    </row>
    <row r="39">
      <c r="V39" s="46"/>
      <c r="W39" s="46"/>
      <c r="X39" s="46"/>
      <c r="Y39" s="46"/>
      <c r="Z39" s="46"/>
      <c r="AA39" s="40"/>
    </row>
    <row r="40">
      <c r="V40" s="46"/>
      <c r="W40" s="46"/>
      <c r="X40" s="46"/>
      <c r="Y40" s="112"/>
      <c r="Z40" s="112"/>
      <c r="AA40" s="40"/>
    </row>
    <row r="41">
      <c r="V41" s="46"/>
      <c r="W41" s="46"/>
      <c r="X41" s="46"/>
      <c r="Y41" s="46"/>
      <c r="Z41" s="46"/>
      <c r="AA41" s="40"/>
    </row>
    <row r="42">
      <c r="V42" s="46"/>
      <c r="W42" s="46"/>
      <c r="X42" s="46"/>
      <c r="Y42" s="46"/>
      <c r="Z42" s="46"/>
      <c r="AA42" s="40"/>
    </row>
    <row r="43">
      <c r="V43" s="46"/>
      <c r="W43" s="46"/>
      <c r="X43" s="46"/>
      <c r="Y43" s="46"/>
      <c r="Z43" s="46"/>
      <c r="AA43" s="40"/>
    </row>
    <row r="44">
      <c r="C44" s="113"/>
      <c r="F44" s="113"/>
      <c r="G44" s="113"/>
      <c r="V44" s="114"/>
      <c r="W44" s="46"/>
      <c r="X44" s="46"/>
      <c r="Y44" s="46"/>
      <c r="Z44" s="46"/>
      <c r="AA44" s="40"/>
    </row>
    <row r="45">
      <c r="C45" s="113"/>
      <c r="F45" s="113"/>
      <c r="G45" s="113"/>
      <c r="V45" s="40"/>
      <c r="W45" s="40"/>
      <c r="X45" s="40"/>
      <c r="Y45" s="40"/>
      <c r="Z45" s="40"/>
      <c r="AA45" s="40"/>
    </row>
    <row r="46">
      <c r="C46" s="115" t="s">
        <v>66</v>
      </c>
      <c r="F46" s="113"/>
      <c r="G46" s="113"/>
      <c r="V46" s="40"/>
      <c r="W46" s="40"/>
      <c r="X46" s="40"/>
      <c r="Y46" s="40"/>
      <c r="Z46" s="40"/>
      <c r="AA46" s="40"/>
    </row>
    <row r="47">
      <c r="C47" s="116"/>
      <c r="V47" s="40"/>
      <c r="W47" s="40"/>
      <c r="X47" s="40"/>
      <c r="Y47" s="40"/>
      <c r="Z47" s="40"/>
      <c r="AA47" s="40"/>
    </row>
    <row r="48">
      <c r="V48" s="40"/>
      <c r="W48" s="40"/>
      <c r="X48" s="40"/>
      <c r="Y48" s="40"/>
      <c r="Z48" s="40"/>
      <c r="AA48" s="40"/>
    </row>
    <row r="49">
      <c r="V49" s="40"/>
      <c r="W49" s="40"/>
      <c r="X49" s="40"/>
      <c r="Y49" s="40"/>
      <c r="Z49" s="40"/>
      <c r="AA49" s="40"/>
    </row>
    <row r="50">
      <c r="V50" s="40"/>
      <c r="W50" s="40"/>
      <c r="X50" s="40"/>
      <c r="Y50" s="40"/>
      <c r="Z50" s="40"/>
      <c r="AA50" s="40"/>
    </row>
    <row r="51">
      <c r="V51" s="40"/>
      <c r="W51" s="40"/>
      <c r="X51" s="40"/>
      <c r="Y51" s="40"/>
      <c r="Z51" s="40"/>
      <c r="AA51" s="40"/>
    </row>
    <row r="52">
      <c r="V52" s="40"/>
      <c r="W52" s="40"/>
      <c r="X52" s="40"/>
      <c r="Y52" s="40"/>
      <c r="Z52" s="40"/>
      <c r="AA52" s="40"/>
    </row>
    <row r="53">
      <c r="C53" s="113"/>
      <c r="F53" s="113"/>
      <c r="G53" s="113"/>
      <c r="V53" s="40"/>
      <c r="W53" s="40"/>
      <c r="X53" s="40"/>
      <c r="Y53" s="40"/>
      <c r="Z53" s="40"/>
      <c r="AA53" s="40"/>
    </row>
    <row r="54">
      <c r="C54" s="113"/>
      <c r="F54" s="113"/>
      <c r="G54" s="113"/>
      <c r="V54" s="40"/>
      <c r="W54" s="40"/>
      <c r="X54" s="40"/>
      <c r="Y54" s="40"/>
      <c r="Z54" s="40"/>
      <c r="AA54" s="40"/>
    </row>
  </sheetData>
  <mergeCells count="18">
    <mergeCell ref="I30:J31"/>
    <mergeCell ref="B32:I34"/>
    <mergeCell ref="C38:T43"/>
    <mergeCell ref="C47:T52"/>
    <mergeCell ref="J32:M34"/>
    <mergeCell ref="N32:U34"/>
    <mergeCell ref="U30:U31"/>
    <mergeCell ref="S30:T31"/>
    <mergeCell ref="K28:K29"/>
    <mergeCell ref="S28:T29"/>
    <mergeCell ref="K30:K31"/>
    <mergeCell ref="G1:Q1"/>
    <mergeCell ref="L24:L27"/>
    <mergeCell ref="C2:K2"/>
    <mergeCell ref="L2:L3"/>
    <mergeCell ref="M2:U2"/>
    <mergeCell ref="I28:J29"/>
    <mergeCell ref="U28:U29"/>
  </mergeCells>
  <conditionalFormatting sqref="C4:U23">
    <cfRule type="expression" dxfId="0" priority="1">
      <formula>$I:$I&lt;&gt;""</formula>
    </cfRule>
  </conditionalFormatting>
  <conditionalFormatting sqref="C4:U23">
    <cfRule type="expression" dxfId="0" priority="2">
      <formula>$S:$S&lt;&gt;""</formula>
    </cfRule>
  </conditionalFormatting>
  <conditionalFormatting sqref="A1">
    <cfRule type="notContainsBlanks" dxfId="1" priority="3">
      <formula>LEN(TRIM(A1))&gt;0</formula>
    </cfRule>
  </conditionalFormatting>
  <conditionalFormatting sqref="X12">
    <cfRule type="notContainsBlanks" dxfId="1" priority="4">
      <formula>LEN(TRIM(X12))&gt;0</formula>
    </cfRule>
  </conditionalFormatting>
  <conditionalFormatting sqref="C38:T43">
    <cfRule type="expression" dxfId="2" priority="5">
      <formula>NOT(V32)</formula>
    </cfRule>
  </conditionalFormatting>
  <conditionalFormatting sqref="C37">
    <cfRule type="expression" dxfId="3" priority="6">
      <formula>NOT(V32)</formula>
    </cfRule>
  </conditionalFormatting>
  <dataValidations>
    <dataValidation type="list" allowBlank="1" showErrorMessage="1" sqref="M3:R3">
      <formula1>'ROUND 5'!$X$5:$X$11</formula1>
    </dataValidation>
    <dataValidation type="list" allowBlank="1" showErrorMessage="1" sqref="C3:H3">
      <formula1>'ROUND 5'!$W$5:$W$11</formula1>
    </dataValidation>
    <dataValidation type="list" allowBlank="1" showErrorMessage="1" sqref="I4:I23 S4:S23">
      <formula1>"0,10,20,30"</formula1>
    </dataValidation>
    <dataValidation type="list" allowBlank="1" showErrorMessage="1" sqref="C4:H27 M4:R27">
      <formula1>"-5,10,15"</formula1>
    </dataValidation>
    <dataValidation type="list" allowBlank="1" showErrorMessage="1" sqref="C2 M2">
      <formula1>INSTRUCTIONS!$A$28:$AJ$28</formula1>
    </dataValidation>
  </dataValidation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1" max="1" width="1.29"/>
    <col customWidth="1" min="2" max="2" width="5.0"/>
    <col customWidth="1" min="3" max="7" width="8.71"/>
    <col customWidth="1" min="8" max="8" width="8.43"/>
    <col customWidth="1" min="9" max="9" width="9.14"/>
    <col customWidth="1" min="10" max="10" width="8.29"/>
    <col customWidth="1" min="11" max="11" width="8.0"/>
    <col customWidth="1" min="12" max="12" width="8.86"/>
    <col customWidth="1" min="13" max="13" width="8.71"/>
    <col customWidth="1" min="14" max="14" width="8.43"/>
    <col customWidth="1" min="15" max="18" width="8.71"/>
    <col customWidth="1" min="19" max="19" width="8.86"/>
    <col customWidth="1" min="20" max="20" width="8.0"/>
    <col customWidth="1" min="21" max="21" width="8.43"/>
    <col customWidth="1" min="22" max="22" width="21.57"/>
  </cols>
  <sheetData>
    <row r="1" ht="18.75" customHeight="1">
      <c r="C1" s="2"/>
      <c r="D1" s="2"/>
      <c r="E1" s="2"/>
      <c r="F1" s="2"/>
      <c r="G1" s="5" t="s">
        <v>70</v>
      </c>
      <c r="R1" s="2"/>
      <c r="S1" s="2"/>
      <c r="T1" s="2"/>
      <c r="U1" s="2"/>
      <c r="V1" s="7"/>
      <c r="W1" s="7"/>
      <c r="X1" s="7"/>
      <c r="Y1" s="7"/>
      <c r="Z1" s="7"/>
    </row>
    <row r="2" ht="18.75" customHeight="1">
      <c r="C2" s="9" t="s">
        <v>71</v>
      </c>
      <c r="D2" s="11"/>
      <c r="E2" s="11"/>
      <c r="F2" s="11"/>
      <c r="G2" s="11"/>
      <c r="H2" s="11"/>
      <c r="I2" s="11"/>
      <c r="J2" s="11"/>
      <c r="K2" s="12"/>
      <c r="L2" s="15" t="s">
        <v>9</v>
      </c>
      <c r="M2" s="17" t="s">
        <v>72</v>
      </c>
      <c r="N2" s="11"/>
      <c r="O2" s="11"/>
      <c r="P2" s="11"/>
      <c r="Q2" s="11"/>
      <c r="R2" s="11"/>
      <c r="S2" s="11"/>
      <c r="T2" s="11"/>
      <c r="U2" s="12"/>
      <c r="V2" s="7"/>
      <c r="W2" s="7"/>
      <c r="X2" s="7"/>
      <c r="Y2" s="7"/>
      <c r="Z2" s="7"/>
    </row>
    <row r="3">
      <c r="C3" s="18" t="s">
        <v>73</v>
      </c>
      <c r="D3" s="20" t="s">
        <v>74</v>
      </c>
      <c r="E3" s="22" t="s">
        <v>75</v>
      </c>
      <c r="F3" s="20" t="s">
        <v>76</v>
      </c>
      <c r="G3" s="22"/>
      <c r="H3" s="20"/>
      <c r="I3" s="23" t="s">
        <v>24</v>
      </c>
      <c r="J3" s="24" t="s">
        <v>27</v>
      </c>
      <c r="K3" s="23" t="s">
        <v>29</v>
      </c>
      <c r="L3" s="25"/>
      <c r="M3" s="26" t="s">
        <v>77</v>
      </c>
      <c r="N3" s="28" t="s">
        <v>78</v>
      </c>
      <c r="O3" s="26" t="s">
        <v>79</v>
      </c>
      <c r="P3" s="28"/>
      <c r="Q3" s="26"/>
      <c r="R3" s="30"/>
      <c r="S3" s="23" t="s">
        <v>24</v>
      </c>
      <c r="T3" s="24" t="s">
        <v>27</v>
      </c>
      <c r="U3" s="23" t="s">
        <v>29</v>
      </c>
      <c r="V3" s="7"/>
      <c r="W3" s="7"/>
      <c r="X3" s="7"/>
      <c r="Y3" s="7"/>
      <c r="Z3" s="7"/>
    </row>
    <row r="4">
      <c r="C4" s="43">
        <v>15.0</v>
      </c>
      <c r="D4" s="32"/>
      <c r="E4" s="32"/>
      <c r="F4" s="32"/>
      <c r="G4" s="32"/>
      <c r="H4" s="32"/>
      <c r="I4" s="37">
        <v>30.0</v>
      </c>
      <c r="J4" s="37">
        <f t="shared" ref="J4:J23" si="1">IF(AND(COUNTA(C4:H4)=0,I4&gt;0), "BON.ERR", IF(COUNTA(C4:H4)&lt;=1, IF(AND(OR(C4&lt;0, D4&lt;0, E4&lt;0, F4&lt;0, G4&lt;0, H4&lt;0), I4&gt;0), "BON.ERR", SUM(C4:I4)), "TEAM.ERR"))</f>
        <v>45</v>
      </c>
      <c r="K4" s="38">
        <f>if(sum(sum(C4:H4), M4:R4)&lt;-6, "NEG.ERR", if(and(sum(C4:I4)&gt;0, sum(M4:S4)&gt;0), "ERROR", sum(J4)))</f>
        <v>45</v>
      </c>
      <c r="L4" s="39">
        <v>1.0</v>
      </c>
      <c r="M4" s="32"/>
      <c r="N4" s="32"/>
      <c r="O4" s="32"/>
      <c r="P4" s="32"/>
      <c r="Q4" s="32"/>
      <c r="R4" s="32"/>
      <c r="S4" s="32"/>
      <c r="T4" s="37">
        <f t="shared" ref="T4:T23" si="2">IF(AND(COUNTA(M4:R4)=0,S4&gt;0), "BON.ERR", IF(COUNTA(M4:R4)&lt;=1, IF(AND(OR(M4&lt;0, N4&lt;0, O4&lt;0, P4&lt;0, Q4&lt;0, R4&lt;0), S4&gt;0), "BON.ERR", SUM(M4:S4)), "TEAM.ERR"))</f>
        <v>0</v>
      </c>
      <c r="U4" s="38">
        <f>if(sum(sum(C4:H4), M4:R4)&lt;-6, "NEG.ERR", if(and(sum(C4:H4)&gt;0, sum(M4:R4)&gt;0), "ERROR", sum(T4)))</f>
        <v>0</v>
      </c>
      <c r="V4" s="40"/>
      <c r="W4" s="41" t="str">
        <f>IFERROR(__xludf.DUMMYFUNCTION("filter(INSTRUCTIONS!A28:AJ39, INSTRUCTIONS!A28:AJ28=C2)"),"BURLEIGH MANOR B")</f>
        <v>BURLEIGH MANOR B</v>
      </c>
      <c r="X4" s="41" t="str">
        <f>IFERROR(__xludf.DUMMYFUNCTION("filter(INSTRUCTIONS!A28:AJ39, INSTRUCTIONS!A28:AJ28=M2)"),"RICHARD MONTGOMERY A")</f>
        <v>RICHARD MONTGOMERY A</v>
      </c>
      <c r="Y4" s="41"/>
      <c r="Z4" s="40"/>
      <c r="AA4" s="40"/>
    </row>
    <row r="5">
      <c r="C5" s="43">
        <v>10.0</v>
      </c>
      <c r="D5" s="32"/>
      <c r="E5" s="32"/>
      <c r="F5" s="32"/>
      <c r="G5" s="32"/>
      <c r="H5" s="32"/>
      <c r="I5" s="37">
        <v>30.0</v>
      </c>
      <c r="J5" s="37">
        <f t="shared" si="1"/>
        <v>40</v>
      </c>
      <c r="K5" s="38">
        <f t="shared" ref="K5:K27" si="3">if(sum(sum(C5:H5), M5:R5)&lt;-6, "NEG.ERR", if(and(sum(C5:I5)&gt;0, sum(M5:S5)&gt;0), "ERROR", sum(J5,K4)))</f>
        <v>85</v>
      </c>
      <c r="L5" s="39">
        <v>2.0</v>
      </c>
      <c r="M5" s="32"/>
      <c r="N5" s="32"/>
      <c r="O5" s="32"/>
      <c r="P5" s="32"/>
      <c r="Q5" s="42"/>
      <c r="R5" s="42"/>
      <c r="S5" s="32"/>
      <c r="T5" s="37">
        <f t="shared" si="2"/>
        <v>0</v>
      </c>
      <c r="U5" s="38">
        <f t="shared" ref="U5:U27" si="4">if(sum(sum(C5:H5), M5:R5)&lt;-6, "NEG.ERR", if(and(sum(C5:H5)&gt;0, sum(M5:R5)&gt;0), "ERROR", sum(T5,U4)))</f>
        <v>0</v>
      </c>
      <c r="V5" s="40"/>
      <c r="W5" s="41" t="str">
        <f>IFERROR(__xludf.DUMMYFUNCTION("""COMPUTED_VALUE"""),"Oyujin Damdinsuren")</f>
        <v>Oyujin Damdinsuren</v>
      </c>
      <c r="X5" s="41" t="str">
        <f>IFERROR(__xludf.DUMMYFUNCTION("""COMPUTED_VALUE"""),"Gus C")</f>
        <v>Gus C</v>
      </c>
      <c r="Y5" s="41"/>
      <c r="Z5" s="40"/>
      <c r="AA5" s="40"/>
    </row>
    <row r="6">
      <c r="C6" s="43">
        <v>10.0</v>
      </c>
      <c r="D6" s="42"/>
      <c r="E6" s="42"/>
      <c r="F6" s="32"/>
      <c r="G6" s="42"/>
      <c r="H6" s="42"/>
      <c r="I6" s="37">
        <v>30.0</v>
      </c>
      <c r="J6" s="37">
        <f t="shared" si="1"/>
        <v>40</v>
      </c>
      <c r="K6" s="38">
        <f t="shared" si="3"/>
        <v>125</v>
      </c>
      <c r="L6" s="39">
        <v>3.0</v>
      </c>
      <c r="M6" s="42"/>
      <c r="N6" s="42"/>
      <c r="O6" s="32"/>
      <c r="P6" s="32"/>
      <c r="Q6" s="32"/>
      <c r="R6" s="42"/>
      <c r="S6" s="32"/>
      <c r="T6" s="37">
        <f t="shared" si="2"/>
        <v>0</v>
      </c>
      <c r="U6" s="38">
        <f t="shared" si="4"/>
        <v>0</v>
      </c>
      <c r="V6" s="40"/>
      <c r="W6" s="41" t="str">
        <f>IFERROR(__xludf.DUMMYFUNCTION("""COMPUTED_VALUE"""),"Max Swann")</f>
        <v>Max Swann</v>
      </c>
      <c r="X6" s="41" t="str">
        <f>IFERROR(__xludf.DUMMYFUNCTION("""COMPUTED_VALUE"""),"Aaron O.")</f>
        <v>Aaron O.</v>
      </c>
      <c r="Y6" s="41"/>
      <c r="Z6" s="40"/>
      <c r="AA6" s="40"/>
    </row>
    <row r="7">
      <c r="C7" s="43">
        <v>10.0</v>
      </c>
      <c r="D7" s="42"/>
      <c r="E7" s="42"/>
      <c r="F7" s="42"/>
      <c r="G7" s="42"/>
      <c r="H7" s="32"/>
      <c r="I7" s="37">
        <v>30.0</v>
      </c>
      <c r="J7" s="37">
        <f t="shared" si="1"/>
        <v>40</v>
      </c>
      <c r="K7" s="38">
        <f t="shared" si="3"/>
        <v>165</v>
      </c>
      <c r="L7" s="39">
        <v>4.0</v>
      </c>
      <c r="M7" s="42"/>
      <c r="N7" s="42"/>
      <c r="O7" s="42"/>
      <c r="P7" s="42"/>
      <c r="Q7" s="42"/>
      <c r="R7" s="42"/>
      <c r="S7" s="42"/>
      <c r="T7" s="37">
        <f t="shared" si="2"/>
        <v>0</v>
      </c>
      <c r="U7" s="38">
        <f t="shared" si="4"/>
        <v>0</v>
      </c>
      <c r="V7" s="40"/>
      <c r="W7" s="41" t="str">
        <f>IFERROR(__xludf.DUMMYFUNCTION("""COMPUTED_VALUE"""),"Claire Wang")</f>
        <v>Claire Wang</v>
      </c>
      <c r="X7" s="41" t="str">
        <f>IFERROR(__xludf.DUMMYFUNCTION("""COMPUTED_VALUE"""),"Corrigan P.")</f>
        <v>Corrigan P.</v>
      </c>
      <c r="Y7" s="41"/>
      <c r="Z7" s="40"/>
      <c r="AA7" s="40"/>
    </row>
    <row r="8">
      <c r="C8" s="43">
        <v>-5.0</v>
      </c>
      <c r="D8" s="32"/>
      <c r="E8" s="32"/>
      <c r="F8" s="32"/>
      <c r="G8" s="42"/>
      <c r="H8" s="42"/>
      <c r="I8" s="32"/>
      <c r="J8" s="37">
        <f t="shared" si="1"/>
        <v>-5</v>
      </c>
      <c r="K8" s="38">
        <f t="shared" si="3"/>
        <v>160</v>
      </c>
      <c r="L8" s="39">
        <v>5.0</v>
      </c>
      <c r="M8" s="37">
        <v>15.0</v>
      </c>
      <c r="N8" s="42"/>
      <c r="O8" s="42"/>
      <c r="P8" s="42"/>
      <c r="Q8" s="32"/>
      <c r="R8" s="42"/>
      <c r="S8" s="37">
        <v>30.0</v>
      </c>
      <c r="T8" s="37">
        <f t="shared" si="2"/>
        <v>45</v>
      </c>
      <c r="U8" s="38">
        <f t="shared" si="4"/>
        <v>45</v>
      </c>
      <c r="V8" s="40"/>
      <c r="W8" s="41" t="str">
        <f>IFERROR(__xludf.DUMMYFUNCTION("""COMPUTED_VALUE"""),"Allen Yang")</f>
        <v>Allen Yang</v>
      </c>
      <c r="X8" s="41" t="str">
        <f>IFERROR(__xludf.DUMMYFUNCTION("""COMPUTED_VALUE"""),"")</f>
        <v/>
      </c>
      <c r="Y8" s="41"/>
      <c r="Z8" s="40"/>
      <c r="AA8" s="40"/>
    </row>
    <row r="9">
      <c r="C9" s="44"/>
      <c r="D9" s="37">
        <v>15.0</v>
      </c>
      <c r="E9" s="32"/>
      <c r="F9" s="32"/>
      <c r="G9" s="32"/>
      <c r="H9" s="42"/>
      <c r="I9" s="37">
        <v>30.0</v>
      </c>
      <c r="J9" s="37">
        <f t="shared" si="1"/>
        <v>45</v>
      </c>
      <c r="K9" s="38">
        <f t="shared" si="3"/>
        <v>205</v>
      </c>
      <c r="L9" s="39">
        <v>6.0</v>
      </c>
      <c r="M9" s="42"/>
      <c r="N9" s="42"/>
      <c r="O9" s="42"/>
      <c r="P9" s="32"/>
      <c r="Q9" s="42"/>
      <c r="R9" s="42"/>
      <c r="S9" s="42"/>
      <c r="T9" s="37">
        <f t="shared" si="2"/>
        <v>0</v>
      </c>
      <c r="U9" s="38">
        <f t="shared" si="4"/>
        <v>45</v>
      </c>
      <c r="V9" s="40"/>
      <c r="W9" s="41" t="str">
        <f>IFERROR(__xludf.DUMMYFUNCTION("""COMPUTED_VALUE"""),"")</f>
        <v/>
      </c>
      <c r="X9" s="41" t="str">
        <f>IFERROR(__xludf.DUMMYFUNCTION("""COMPUTED_VALUE"""),"")</f>
        <v/>
      </c>
      <c r="Y9" s="41"/>
      <c r="Z9" s="40"/>
      <c r="AA9" s="40"/>
    </row>
    <row r="10">
      <c r="C10" s="44"/>
      <c r="D10" s="37">
        <v>15.0</v>
      </c>
      <c r="E10" s="42"/>
      <c r="F10" s="32"/>
      <c r="G10" s="42"/>
      <c r="H10" s="42"/>
      <c r="I10" s="37">
        <v>20.0</v>
      </c>
      <c r="J10" s="37">
        <f t="shared" si="1"/>
        <v>35</v>
      </c>
      <c r="K10" s="38">
        <f t="shared" si="3"/>
        <v>240</v>
      </c>
      <c r="L10" s="39">
        <v>7.0</v>
      </c>
      <c r="M10" s="42"/>
      <c r="N10" s="42"/>
      <c r="O10" s="32"/>
      <c r="P10" s="42"/>
      <c r="Q10" s="42"/>
      <c r="R10" s="42"/>
      <c r="S10" s="32"/>
      <c r="T10" s="37">
        <f t="shared" si="2"/>
        <v>0</v>
      </c>
      <c r="U10" s="38">
        <f t="shared" si="4"/>
        <v>45</v>
      </c>
      <c r="V10" s="40"/>
      <c r="W10" s="41" t="str">
        <f>IFERROR(__xludf.DUMMYFUNCTION("""COMPUTED_VALUE"""),"")</f>
        <v/>
      </c>
      <c r="X10" s="41" t="str">
        <f>IFERROR(__xludf.DUMMYFUNCTION("""COMPUTED_VALUE"""),"")</f>
        <v/>
      </c>
      <c r="Y10" s="41"/>
      <c r="Z10" s="40"/>
      <c r="AA10" s="40"/>
    </row>
    <row r="11">
      <c r="C11" s="44"/>
      <c r="D11" s="37">
        <v>10.0</v>
      </c>
      <c r="E11" s="42"/>
      <c r="F11" s="42"/>
      <c r="G11" s="42"/>
      <c r="H11" s="42"/>
      <c r="I11" s="37">
        <v>0.0</v>
      </c>
      <c r="J11" s="37">
        <f t="shared" si="1"/>
        <v>10</v>
      </c>
      <c r="K11" s="38">
        <f t="shared" si="3"/>
        <v>250</v>
      </c>
      <c r="L11" s="39">
        <v>8.0</v>
      </c>
      <c r="M11" s="42"/>
      <c r="N11" s="42"/>
      <c r="O11" s="42"/>
      <c r="P11" s="42"/>
      <c r="Q11" s="42"/>
      <c r="R11" s="42"/>
      <c r="S11" s="42"/>
      <c r="T11" s="37">
        <f t="shared" si="2"/>
        <v>0</v>
      </c>
      <c r="U11" s="38">
        <f t="shared" si="4"/>
        <v>45</v>
      </c>
      <c r="V11" s="40"/>
      <c r="W11" s="41" t="str">
        <f>IFERROR(__xludf.DUMMYFUNCTION("""COMPUTED_VALUE"""),"")</f>
        <v/>
      </c>
      <c r="X11" s="41" t="str">
        <f>IFERROR(__xludf.DUMMYFUNCTION("""COMPUTED_VALUE"""),"")</f>
        <v/>
      </c>
      <c r="Y11" s="41"/>
      <c r="Z11" s="40"/>
      <c r="AA11" s="40"/>
    </row>
    <row r="12">
      <c r="C12" s="44"/>
      <c r="D12" s="37">
        <v>10.0</v>
      </c>
      <c r="E12" s="42"/>
      <c r="F12" s="42"/>
      <c r="G12" s="42"/>
      <c r="H12" s="42"/>
      <c r="I12" s="37">
        <v>0.0</v>
      </c>
      <c r="J12" s="37">
        <f t="shared" si="1"/>
        <v>10</v>
      </c>
      <c r="K12" s="38">
        <f t="shared" si="3"/>
        <v>260</v>
      </c>
      <c r="L12" s="39">
        <v>9.0</v>
      </c>
      <c r="M12" s="42"/>
      <c r="N12" s="32"/>
      <c r="O12" s="42"/>
      <c r="P12" s="42"/>
      <c r="Q12" s="42"/>
      <c r="R12" s="42"/>
      <c r="S12" s="32"/>
      <c r="T12" s="37">
        <f t="shared" si="2"/>
        <v>0</v>
      </c>
      <c r="U12" s="38">
        <f t="shared" si="4"/>
        <v>45</v>
      </c>
      <c r="V12" s="40"/>
      <c r="W12" s="41" t="str">
        <f>IFERROR(__xludf.DUMMYFUNCTION("""COMPUTED_VALUE"""),"")</f>
        <v/>
      </c>
      <c r="X12" s="41" t="str">
        <f>IFERROR(__xludf.DUMMYFUNCTION("""COMPUTED_VALUE"""),"")</f>
        <v/>
      </c>
      <c r="Y12" s="41"/>
      <c r="Z12" s="40"/>
      <c r="AA12" s="40"/>
    </row>
    <row r="13">
      <c r="C13" s="44"/>
      <c r="D13" s="37">
        <v>10.0</v>
      </c>
      <c r="E13" s="32"/>
      <c r="F13" s="42"/>
      <c r="G13" s="42"/>
      <c r="H13" s="42"/>
      <c r="I13" s="37">
        <v>0.0</v>
      </c>
      <c r="J13" s="37">
        <f t="shared" si="1"/>
        <v>10</v>
      </c>
      <c r="K13" s="38">
        <f t="shared" si="3"/>
        <v>270</v>
      </c>
      <c r="L13" s="39">
        <v>10.0</v>
      </c>
      <c r="M13" s="42"/>
      <c r="N13" s="42"/>
      <c r="O13" s="32"/>
      <c r="P13" s="42"/>
      <c r="Q13" s="42"/>
      <c r="R13" s="42"/>
      <c r="S13" s="32"/>
      <c r="T13" s="37">
        <f t="shared" si="2"/>
        <v>0</v>
      </c>
      <c r="U13" s="38">
        <f t="shared" si="4"/>
        <v>45</v>
      </c>
      <c r="V13" s="40"/>
      <c r="W13" s="40" t="str">
        <f>IFERROR(__xludf.DUMMYFUNCTION("""COMPUTED_VALUE"""),"")</f>
        <v/>
      </c>
      <c r="X13" s="40" t="str">
        <f>IFERROR(__xludf.DUMMYFUNCTION("""COMPUTED_VALUE"""),"")</f>
        <v/>
      </c>
      <c r="Y13" s="40"/>
      <c r="Z13" s="40"/>
      <c r="AA13" s="40"/>
    </row>
    <row r="14">
      <c r="C14" s="31"/>
      <c r="D14" s="37">
        <v>-5.0</v>
      </c>
      <c r="E14" s="42"/>
      <c r="F14" s="42"/>
      <c r="G14" s="42"/>
      <c r="H14" s="42"/>
      <c r="I14" s="32"/>
      <c r="J14" s="37">
        <f t="shared" si="1"/>
        <v>-5</v>
      </c>
      <c r="K14" s="38">
        <f t="shared" si="3"/>
        <v>265</v>
      </c>
      <c r="L14" s="39">
        <v>11.0</v>
      </c>
      <c r="M14" s="37">
        <v>15.0</v>
      </c>
      <c r="N14" s="42"/>
      <c r="O14" s="32"/>
      <c r="P14" s="42"/>
      <c r="Q14" s="42"/>
      <c r="R14" s="42"/>
      <c r="S14" s="37">
        <v>30.0</v>
      </c>
      <c r="T14" s="37">
        <f t="shared" si="2"/>
        <v>45</v>
      </c>
      <c r="U14" s="38">
        <f t="shared" si="4"/>
        <v>90</v>
      </c>
      <c r="V14" s="46"/>
      <c r="W14" s="46" t="str">
        <f>IFERROR(__xludf.DUMMYFUNCTION("""COMPUTED_VALUE"""),"")</f>
        <v/>
      </c>
      <c r="X14" s="46" t="str">
        <f>IFERROR(__xludf.DUMMYFUNCTION("""COMPUTED_VALUE"""),"")</f>
        <v/>
      </c>
      <c r="Y14" s="46"/>
      <c r="Z14" s="46"/>
      <c r="AA14" s="46"/>
    </row>
    <row r="15">
      <c r="C15" s="44"/>
      <c r="D15" s="42"/>
      <c r="E15" s="42"/>
      <c r="F15" s="37">
        <v>10.0</v>
      </c>
      <c r="G15" s="42"/>
      <c r="H15" s="42"/>
      <c r="I15" s="37">
        <v>0.0</v>
      </c>
      <c r="J15" s="37">
        <f t="shared" si="1"/>
        <v>10</v>
      </c>
      <c r="K15" s="38">
        <f t="shared" si="3"/>
        <v>275</v>
      </c>
      <c r="L15" s="39">
        <v>12.0</v>
      </c>
      <c r="M15" s="42"/>
      <c r="N15" s="32"/>
      <c r="O15" s="42"/>
      <c r="P15" s="42"/>
      <c r="Q15" s="42"/>
      <c r="R15" s="42"/>
      <c r="S15" s="42"/>
      <c r="T15" s="37">
        <f t="shared" si="2"/>
        <v>0</v>
      </c>
      <c r="U15" s="38">
        <f t="shared" si="4"/>
        <v>90</v>
      </c>
      <c r="V15" s="46"/>
      <c r="W15" s="46" t="str">
        <f>IFERROR(__xludf.DUMMYFUNCTION("""COMPUTED_VALUE"""),"")</f>
        <v/>
      </c>
      <c r="X15" s="46" t="str">
        <f>IFERROR(__xludf.DUMMYFUNCTION("""COMPUTED_VALUE"""),"")</f>
        <v/>
      </c>
      <c r="Y15" s="46"/>
      <c r="Z15" s="46"/>
      <c r="AA15" s="46"/>
    </row>
    <row r="16">
      <c r="C16" s="31"/>
      <c r="D16" s="42"/>
      <c r="E16" s="42"/>
      <c r="F16" s="42"/>
      <c r="G16" s="42"/>
      <c r="H16" s="32"/>
      <c r="I16" s="32"/>
      <c r="J16" s="37">
        <f t="shared" si="1"/>
        <v>0</v>
      </c>
      <c r="K16" s="38">
        <f t="shared" si="3"/>
        <v>275</v>
      </c>
      <c r="L16" s="39">
        <v>13.0</v>
      </c>
      <c r="M16" s="37">
        <v>10.0</v>
      </c>
      <c r="N16" s="42"/>
      <c r="O16" s="42"/>
      <c r="P16" s="42"/>
      <c r="Q16" s="42"/>
      <c r="R16" s="42"/>
      <c r="S16" s="37">
        <v>30.0</v>
      </c>
      <c r="T16" s="37">
        <f t="shared" si="2"/>
        <v>40</v>
      </c>
      <c r="U16" s="38">
        <f t="shared" si="4"/>
        <v>130</v>
      </c>
      <c r="V16" s="46"/>
      <c r="W16" s="46"/>
      <c r="X16" s="46"/>
      <c r="Y16" s="46"/>
      <c r="Z16" s="46"/>
      <c r="AA16" s="46"/>
    </row>
    <row r="17">
      <c r="C17" s="31"/>
      <c r="D17" s="42"/>
      <c r="E17" s="42"/>
      <c r="F17" s="42"/>
      <c r="G17" s="42"/>
      <c r="H17" s="42"/>
      <c r="I17" s="32"/>
      <c r="J17" s="37">
        <f t="shared" si="1"/>
        <v>0</v>
      </c>
      <c r="K17" s="38">
        <f t="shared" si="3"/>
        <v>275</v>
      </c>
      <c r="L17" s="39">
        <v>14.0</v>
      </c>
      <c r="M17" s="37">
        <v>10.0</v>
      </c>
      <c r="N17" s="42"/>
      <c r="O17" s="32"/>
      <c r="P17" s="42"/>
      <c r="Q17" s="42"/>
      <c r="R17" s="42"/>
      <c r="S17" s="37">
        <v>30.0</v>
      </c>
      <c r="T17" s="37">
        <f t="shared" si="2"/>
        <v>40</v>
      </c>
      <c r="U17" s="38">
        <f t="shared" si="4"/>
        <v>170</v>
      </c>
      <c r="V17" s="40"/>
      <c r="W17" s="40"/>
      <c r="X17" s="40"/>
      <c r="Y17" s="40"/>
      <c r="Z17" s="46"/>
      <c r="AA17" s="46"/>
    </row>
    <row r="18">
      <c r="C18" s="44"/>
      <c r="D18" s="42"/>
      <c r="E18" s="42"/>
      <c r="F18" s="42"/>
      <c r="G18" s="42"/>
      <c r="H18" s="42"/>
      <c r="I18" s="32"/>
      <c r="J18" s="37">
        <f t="shared" si="1"/>
        <v>0</v>
      </c>
      <c r="K18" s="38">
        <f t="shared" si="3"/>
        <v>275</v>
      </c>
      <c r="L18" s="39">
        <v>15.0</v>
      </c>
      <c r="M18" s="37">
        <v>10.0</v>
      </c>
      <c r="N18" s="42"/>
      <c r="O18" s="42"/>
      <c r="P18" s="42"/>
      <c r="Q18" s="42"/>
      <c r="R18" s="42"/>
      <c r="S18" s="37">
        <v>20.0</v>
      </c>
      <c r="T18" s="37">
        <f t="shared" si="2"/>
        <v>30</v>
      </c>
      <c r="U18" s="38">
        <f t="shared" si="4"/>
        <v>200</v>
      </c>
      <c r="V18" s="40" t="str">
        <f>IFERROR(__xludf.DUMMYFUNCTION("IF(NOT(EQ(C38, """")), SPLIT(C38, "";""), """")"),"")</f>
        <v/>
      </c>
      <c r="W18" s="47"/>
      <c r="X18" s="40"/>
      <c r="Y18" s="40"/>
      <c r="Z18" s="46"/>
      <c r="AA18" s="46"/>
    </row>
    <row r="19">
      <c r="C19" s="44"/>
      <c r="D19" s="42"/>
      <c r="E19" s="42"/>
      <c r="F19" s="42"/>
      <c r="G19" s="42"/>
      <c r="H19" s="42"/>
      <c r="I19" s="32"/>
      <c r="J19" s="37">
        <f t="shared" si="1"/>
        <v>0</v>
      </c>
      <c r="K19" s="38">
        <f t="shared" si="3"/>
        <v>275</v>
      </c>
      <c r="L19" s="39">
        <v>16.0</v>
      </c>
      <c r="M19" s="37">
        <v>10.0</v>
      </c>
      <c r="N19" s="42"/>
      <c r="O19" s="42"/>
      <c r="P19" s="42"/>
      <c r="Q19" s="42"/>
      <c r="R19" s="42"/>
      <c r="S19" s="37">
        <v>0.0</v>
      </c>
      <c r="T19" s="37">
        <f t="shared" si="2"/>
        <v>10</v>
      </c>
      <c r="U19" s="38">
        <f t="shared" si="4"/>
        <v>210</v>
      </c>
      <c r="V19" s="40" t="str">
        <f t="shared" ref="V19:Y19" si="5">TRIM(V18)</f>
        <v/>
      </c>
      <c r="W19" s="40" t="str">
        <f t="shared" si="5"/>
        <v/>
      </c>
      <c r="X19" s="40" t="str">
        <f t="shared" si="5"/>
        <v/>
      </c>
      <c r="Y19" s="40" t="str">
        <f t="shared" si="5"/>
        <v/>
      </c>
      <c r="Z19" s="46"/>
      <c r="AA19" s="46"/>
    </row>
    <row r="20">
      <c r="C20" s="31"/>
      <c r="D20" s="42"/>
      <c r="E20" s="42"/>
      <c r="F20" s="42"/>
      <c r="G20" s="42"/>
      <c r="H20" s="42"/>
      <c r="I20" s="32"/>
      <c r="J20" s="37">
        <f t="shared" si="1"/>
        <v>0</v>
      </c>
      <c r="K20" s="38">
        <f t="shared" si="3"/>
        <v>275</v>
      </c>
      <c r="L20" s="39">
        <v>17.0</v>
      </c>
      <c r="M20" s="37">
        <v>10.0</v>
      </c>
      <c r="N20" s="42"/>
      <c r="O20" s="42"/>
      <c r="P20" s="42"/>
      <c r="Q20" s="42"/>
      <c r="R20" s="42"/>
      <c r="S20" s="37">
        <v>0.0</v>
      </c>
      <c r="T20" s="37">
        <f t="shared" si="2"/>
        <v>10</v>
      </c>
      <c r="U20" s="38">
        <f t="shared" si="4"/>
        <v>220</v>
      </c>
      <c r="V20" s="40" t="b">
        <f t="shared" ref="V20:Y20" si="6">EQ(V19,"")</f>
        <v>1</v>
      </c>
      <c r="W20" s="40" t="b">
        <f t="shared" si="6"/>
        <v>1</v>
      </c>
      <c r="X20" s="40" t="b">
        <f t="shared" si="6"/>
        <v>1</v>
      </c>
      <c r="Y20" s="40" t="b">
        <f t="shared" si="6"/>
        <v>1</v>
      </c>
      <c r="Z20" s="46"/>
      <c r="AA20" s="46"/>
    </row>
    <row r="21">
      <c r="C21" s="44"/>
      <c r="D21" s="42"/>
      <c r="E21" s="42"/>
      <c r="F21" s="42"/>
      <c r="G21" s="42"/>
      <c r="H21" s="42"/>
      <c r="I21" s="37">
        <v>0.0</v>
      </c>
      <c r="J21" s="37">
        <f t="shared" si="1"/>
        <v>0</v>
      </c>
      <c r="K21" s="38">
        <f t="shared" si="3"/>
        <v>275</v>
      </c>
      <c r="L21" s="39">
        <v>18.0</v>
      </c>
      <c r="M21" s="42"/>
      <c r="N21" s="37">
        <v>-5.0</v>
      </c>
      <c r="O21" s="42"/>
      <c r="P21" s="42"/>
      <c r="Q21" s="42"/>
      <c r="R21" s="42"/>
      <c r="S21" s="32"/>
      <c r="T21" s="37">
        <f t="shared" si="2"/>
        <v>-5</v>
      </c>
      <c r="U21" s="38">
        <f t="shared" si="4"/>
        <v>215</v>
      </c>
      <c r="V21" s="57" t="b">
        <f>EQ(UPPER(C2), LEFT(UPPER(V19), LEN(C2)))</f>
        <v>0</v>
      </c>
      <c r="W21" s="57" t="b">
        <f>EQ(UPPER(C2), LEFT(UPPER(W19), LEN(C2)))</f>
        <v>0</v>
      </c>
      <c r="X21" s="57" t="b">
        <f>EQ(UPPER(C2), LEFT(UPPER(X19), LEN(C2)))</f>
        <v>0</v>
      </c>
      <c r="Y21" s="57" t="b">
        <f>EQ(UPPER(C2), LEFT(UPPER(Y19), LEN(C2)))</f>
        <v>0</v>
      </c>
      <c r="Z21" s="46"/>
      <c r="AA21" s="46"/>
    </row>
    <row r="22">
      <c r="C22" s="44"/>
      <c r="D22" s="42"/>
      <c r="E22" s="42"/>
      <c r="F22" s="42"/>
      <c r="G22" s="42"/>
      <c r="H22" s="42"/>
      <c r="I22" s="42"/>
      <c r="J22" s="37">
        <f t="shared" si="1"/>
        <v>0</v>
      </c>
      <c r="K22" s="38">
        <f t="shared" si="3"/>
        <v>275</v>
      </c>
      <c r="L22" s="39">
        <v>19.0</v>
      </c>
      <c r="M22" s="42"/>
      <c r="N22" s="42"/>
      <c r="O22" s="37">
        <v>10.0</v>
      </c>
      <c r="P22" s="42"/>
      <c r="Q22" s="42"/>
      <c r="R22" s="42"/>
      <c r="S22" s="37">
        <v>0.0</v>
      </c>
      <c r="T22" s="37">
        <f t="shared" si="2"/>
        <v>10</v>
      </c>
      <c r="U22" s="38">
        <f t="shared" si="4"/>
        <v>225</v>
      </c>
      <c r="V22" s="57" t="b">
        <f>EQ(UPPER(M2), LEFT(UPPER(V19), LEN(M2)))</f>
        <v>0</v>
      </c>
      <c r="W22" s="57" t="b">
        <f>EQ(UPPER(M2), LEFT(UPPER(W19), LEN(M2)))</f>
        <v>0</v>
      </c>
      <c r="X22" s="40" t="b">
        <f>EQ(UPPER(M2), LEFT(UPPER(X19), LEN(M2)))</f>
        <v>0</v>
      </c>
      <c r="Y22" s="57" t="b">
        <f>EQ(UPPER(M2), LEFT(UPPER(Y19), LEN(M2)))</f>
        <v>0</v>
      </c>
      <c r="Z22" s="46"/>
      <c r="AA22" s="46"/>
    </row>
    <row r="23">
      <c r="C23" s="31"/>
      <c r="D23" s="42"/>
      <c r="E23" s="42"/>
      <c r="F23" s="42"/>
      <c r="G23" s="42"/>
      <c r="H23" s="42"/>
      <c r="I23" s="37">
        <v>0.0</v>
      </c>
      <c r="J23" s="37">
        <f t="shared" si="1"/>
        <v>0</v>
      </c>
      <c r="K23" s="38">
        <f t="shared" si="3"/>
        <v>275</v>
      </c>
      <c r="L23" s="39">
        <v>20.0</v>
      </c>
      <c r="M23" s="37">
        <v>-5.0</v>
      </c>
      <c r="N23" s="42"/>
      <c r="O23" s="42"/>
      <c r="P23" s="42"/>
      <c r="Q23" s="42"/>
      <c r="R23" s="42"/>
      <c r="S23" s="42"/>
      <c r="T23" s="37">
        <f t="shared" si="2"/>
        <v>-5</v>
      </c>
      <c r="U23" s="38">
        <f t="shared" si="4"/>
        <v>220</v>
      </c>
      <c r="V23" s="57" t="b">
        <f>IFERROR(__xludf.DUMMYFUNCTION("IFERROR(OR(REGEXEXTRACT(V19, ""[0-9]+ :|[0-9]+:""), True), False)"),FALSE)</f>
        <v>0</v>
      </c>
      <c r="W23" s="57" t="b">
        <f>IFERROR(__xludf.DUMMYFUNCTION("IFERROR(OR(REGEXEXTRACT(W19, ""[0-9]+ :|[0-9]+:""), True), False)"),FALSE)</f>
        <v>0</v>
      </c>
      <c r="X23" s="57" t="b">
        <f>IFERROR(__xludf.DUMMYFUNCTION("IFERROR(OR(REGEXEXTRACT(X19, ""[0-9]+ :|[0-9]+:""), True), False)"),FALSE)</f>
        <v>0</v>
      </c>
      <c r="Y23" s="57" t="b">
        <f>IFERROR(__xludf.DUMMYFUNCTION("IFERROR(OR(REGEXEXTRACT(Y19, ""[0-9]+ :|[0-9]+:""), True), False)"),FALSE)</f>
        <v>0</v>
      </c>
      <c r="Z23" s="46"/>
      <c r="AA23" s="46"/>
    </row>
    <row r="24">
      <c r="C24" s="67"/>
      <c r="D24" s="59"/>
      <c r="E24" s="60"/>
      <c r="F24" s="61"/>
      <c r="G24" s="60"/>
      <c r="H24" s="59"/>
      <c r="I24" s="62" t="s">
        <v>59</v>
      </c>
      <c r="J24" s="63">
        <f t="shared" ref="J24:J27" si="8">IF(COUNTA(C24:H24)&lt;=1, SUM(C24:H24), "TEAM.ERR")</f>
        <v>0</v>
      </c>
      <c r="K24" s="64">
        <f t="shared" si="3"/>
        <v>275</v>
      </c>
      <c r="L24" s="68" t="s">
        <v>60</v>
      </c>
      <c r="M24" s="66"/>
      <c r="N24" s="59"/>
      <c r="O24" s="66"/>
      <c r="P24" s="59"/>
      <c r="Q24" s="66"/>
      <c r="R24" s="59"/>
      <c r="S24" s="62" t="s">
        <v>59</v>
      </c>
      <c r="T24" s="63">
        <f t="shared" ref="T24:T27" si="9">IF(COUNTA(M24:R24)&lt;=1, SUM(M24:R24), "TEAM.ERR")</f>
        <v>0</v>
      </c>
      <c r="U24" s="64">
        <f t="shared" si="4"/>
        <v>220</v>
      </c>
      <c r="V24" s="57" t="b">
        <f t="shared" ref="V24:W24" si="7">IFERROR(IF(V21, AND(FIND(UPPER(C3), UPPER(V19)) &gt; 0, NOT(EQ(C3,""))), AND(FIND(UPPER(M3), UPPER(V19)) &gt; 0, NOT(EQ(M3,"")))), FALSE)</f>
        <v>0</v>
      </c>
      <c r="W24" s="57" t="b">
        <f t="shared" si="7"/>
        <v>0</v>
      </c>
      <c r="X24" s="57" t="b">
        <f>IFERROR(IF(X21, AND(FIND(UPPER(C3), UPPER(X19)) &gt; 0, NOT(EQ(C3,""))), AND(FIND(UPPER(M3), UPPER(X19)) &gt; 0, NOT(EQ(M3,"")))), FALSE)</f>
        <v>0</v>
      </c>
      <c r="Y24" s="57" t="b">
        <f>IFERROR(IF(Y21, AND(FIND(UPPER(C3), UPPER(Y19)) &gt; 0, NOT(EQ(C3,""))), AND(FIND(UPPER(M3), UPPER(Y19)) &gt; 0, NOT(EQ(M3,"")))), FALSE)</f>
        <v>0</v>
      </c>
      <c r="Z24" s="46"/>
      <c r="AA24" s="46"/>
    </row>
    <row r="25">
      <c r="C25" s="67"/>
      <c r="D25" s="61"/>
      <c r="E25" s="60"/>
      <c r="F25" s="59"/>
      <c r="G25" s="60"/>
      <c r="H25" s="59"/>
      <c r="I25" s="62" t="s">
        <v>59</v>
      </c>
      <c r="J25" s="63">
        <f t="shared" si="8"/>
        <v>0</v>
      </c>
      <c r="K25" s="64">
        <f t="shared" si="3"/>
        <v>275</v>
      </c>
      <c r="L25" s="25"/>
      <c r="M25" s="66"/>
      <c r="N25" s="59"/>
      <c r="O25" s="66"/>
      <c r="P25" s="59"/>
      <c r="Q25" s="66"/>
      <c r="R25" s="59"/>
      <c r="S25" s="62" t="s">
        <v>59</v>
      </c>
      <c r="T25" s="63">
        <f t="shared" si="9"/>
        <v>0</v>
      </c>
      <c r="U25" s="64">
        <f t="shared" si="4"/>
        <v>220</v>
      </c>
      <c r="V25" s="57" t="b">
        <f t="shared" ref="V25:W25" si="10">IFERROR(IF(V21, AND(FIND(UPPER(D3), UPPER(V19)) &gt; 0, NOT(EQ(D3,""))), AND(FIND(UPPER(N3), UPPER(V19)) &gt; 0, NOT(EQ(N3,"")))), FALSE)</f>
        <v>0</v>
      </c>
      <c r="W25" s="57" t="b">
        <f t="shared" si="10"/>
        <v>0</v>
      </c>
      <c r="X25" s="57" t="b">
        <f>IFERROR(IF(X21, AND(FIND(UPPER(D3), UPPER(X19)) &gt; 0, NOT(EQ(D3,""))), AND(FIND(UPPER(N3), UPPER(X19)) &gt; 0, NOT(EQ(N3,"")))), FALSE)</f>
        <v>0</v>
      </c>
      <c r="Y25" s="57" t="b">
        <f>IFERROR(IF(Y21, AND(FIND(UPPER(D3), UPPER(Y19)) &gt; 0, NOT(EQ(D3,""))), AND(FIND(UPPER(N3), UPPER(Y19)) &gt; 0, NOT(EQ(N3,"")))), FALSE)</f>
        <v>0</v>
      </c>
      <c r="Z25" s="46"/>
      <c r="AA25" s="46"/>
    </row>
    <row r="26">
      <c r="C26" s="67"/>
      <c r="D26" s="59"/>
      <c r="E26" s="60"/>
      <c r="F26" s="59"/>
      <c r="G26" s="60"/>
      <c r="H26" s="59"/>
      <c r="I26" s="62" t="s">
        <v>59</v>
      </c>
      <c r="J26" s="63">
        <f t="shared" si="8"/>
        <v>0</v>
      </c>
      <c r="K26" s="64">
        <f t="shared" si="3"/>
        <v>275</v>
      </c>
      <c r="L26" s="25"/>
      <c r="M26" s="66"/>
      <c r="N26" s="59"/>
      <c r="O26" s="66"/>
      <c r="P26" s="59"/>
      <c r="Q26" s="66"/>
      <c r="R26" s="59"/>
      <c r="S26" s="62" t="s">
        <v>59</v>
      </c>
      <c r="T26" s="63">
        <f t="shared" si="9"/>
        <v>0</v>
      </c>
      <c r="U26" s="64">
        <f t="shared" si="4"/>
        <v>220</v>
      </c>
      <c r="V26" s="57" t="b">
        <f t="shared" ref="V26:W26" si="11">IFERROR(IF(V21, AND(FIND(UPPER(E3), UPPER(V19)) &gt; 0, NOT(EQ(E3,""))), AND(FIND(UPPER(O3), UPPER(V19)) &gt; 0, NOT(EQ(O3,"")))), FALSE)</f>
        <v>0</v>
      </c>
      <c r="W26" s="57" t="b">
        <f t="shared" si="11"/>
        <v>0</v>
      </c>
      <c r="X26" s="57" t="b">
        <f>IFERROR(IF(X21, AND(FIND(UPPER(E3), UPPER(X19)) &gt; 0, NOT(EQ(E3,""))), AND(FIND(UPPER(O3), UPPER(X19)) &gt; 0, NOT(EQ(O3,"")))), FALSE)</f>
        <v>0</v>
      </c>
      <c r="Y26" s="57" t="b">
        <f>IFERROR(IF(Y21, AND(FIND(UPPER(E3), UPPER(Y19)) &gt; 0, NOT(EQ(E3,""))), AND(FIND(UPPER(O3), UPPER(Y19)) &gt; 0, NOT(EQ(O3,"")))), FALSE)</f>
        <v>0</v>
      </c>
      <c r="Z26" s="46"/>
      <c r="AA26" s="46"/>
    </row>
    <row r="27">
      <c r="C27" s="67"/>
      <c r="D27" s="59"/>
      <c r="E27" s="60"/>
      <c r="F27" s="59"/>
      <c r="G27" s="60"/>
      <c r="H27" s="59"/>
      <c r="I27" s="62" t="s">
        <v>59</v>
      </c>
      <c r="J27" s="63">
        <f t="shared" si="8"/>
        <v>0</v>
      </c>
      <c r="K27" s="64">
        <f t="shared" si="3"/>
        <v>275</v>
      </c>
      <c r="L27" s="69"/>
      <c r="M27" s="66"/>
      <c r="N27" s="59"/>
      <c r="O27" s="66"/>
      <c r="P27" s="59"/>
      <c r="Q27" s="66"/>
      <c r="R27" s="59"/>
      <c r="S27" s="62" t="s">
        <v>59</v>
      </c>
      <c r="T27" s="63">
        <f t="shared" si="9"/>
        <v>0</v>
      </c>
      <c r="U27" s="64">
        <f t="shared" si="4"/>
        <v>220</v>
      </c>
      <c r="V27" s="57" t="b">
        <f t="shared" ref="V27:W27" si="12">IFERROR(IF(V21, AND(FIND(UPPER(F3), UPPER(V19)) &gt; 0, NOT(EQ(F3,""))), AND(FIND(UPPER(P3), UPPER(V19)) &gt; 0, NOT(EQ(P3,"")))), FALSE)</f>
        <v>0</v>
      </c>
      <c r="W27" s="57" t="b">
        <f t="shared" si="12"/>
        <v>0</v>
      </c>
      <c r="X27" s="57" t="b">
        <f>IFERROR(IF(X21, AND(FIND(UPPER(F3), UPPER(X19)) &gt; 0, NOT(EQ(F3,""))), AND(FIND(UPPER(P3), UPPER(X19)) &gt; 0, NOT(EQ(P3,"")))), FALSE)</f>
        <v>0</v>
      </c>
      <c r="Y27" s="57" t="b">
        <f>IFERROR(IF(Y21, AND(FIND(UPPER(F3), UPPER(Y19)) &gt; 0, NOT(EQ(F3,""))), AND(FIND(UPPER(P3), UPPER(Y19)) &gt; 0, NOT(EQ(P3,"")))), FALSE)</f>
        <v>0</v>
      </c>
      <c r="Z27" s="46"/>
      <c r="AA27" s="46"/>
    </row>
    <row r="28">
      <c r="B28" s="70">
        <v>15.0</v>
      </c>
      <c r="C28" s="71">
        <f t="shared" ref="C28:H28" si="13">COUNTIF(C4:C27, "=15")</f>
        <v>1</v>
      </c>
      <c r="D28" s="72">
        <f t="shared" si="13"/>
        <v>2</v>
      </c>
      <c r="E28" s="71">
        <f t="shared" si="13"/>
        <v>0</v>
      </c>
      <c r="F28" s="72">
        <f t="shared" si="13"/>
        <v>0</v>
      </c>
      <c r="G28" s="71">
        <f t="shared" si="13"/>
        <v>0</v>
      </c>
      <c r="H28" s="72">
        <f t="shared" si="13"/>
        <v>0</v>
      </c>
      <c r="I28" s="73" t="s">
        <v>61</v>
      </c>
      <c r="J28" s="74"/>
      <c r="K28" s="75" t="s">
        <v>62</v>
      </c>
      <c r="L28" s="76">
        <v>15.0</v>
      </c>
      <c r="M28" s="77">
        <f t="shared" ref="M28:R28" si="14">COUNTIF(M4:M27, "=15")</f>
        <v>2</v>
      </c>
      <c r="N28" s="78">
        <f t="shared" si="14"/>
        <v>0</v>
      </c>
      <c r="O28" s="77">
        <f t="shared" si="14"/>
        <v>0</v>
      </c>
      <c r="P28" s="78">
        <f t="shared" si="14"/>
        <v>0</v>
      </c>
      <c r="Q28" s="77">
        <f t="shared" si="14"/>
        <v>0</v>
      </c>
      <c r="R28" s="78">
        <f t="shared" si="14"/>
        <v>0</v>
      </c>
      <c r="S28" s="79" t="s">
        <v>61</v>
      </c>
      <c r="T28" s="74"/>
      <c r="U28" s="80" t="s">
        <v>62</v>
      </c>
      <c r="V28" s="57" t="b">
        <f t="shared" ref="V28:W28" si="15">IFERROR(IF(V21, AND(FIND(UPPER(G3), UPPER(V19)) &gt; 0, NOT(EQ(G3,""))), AND(FIND(UPPER(Q3), UPPER(V19)) &gt; 0, NOT(EQ(Q3,"")))), FALSE)</f>
        <v>0</v>
      </c>
      <c r="W28" s="57" t="b">
        <f t="shared" si="15"/>
        <v>0</v>
      </c>
      <c r="X28" s="57" t="b">
        <f>IFERROR(IF(X21, AND(FIND(UPPER(G3), UPPER(X19)) &gt; 0, NOT(EQ(G3,""))), AND(FIND(UPPER(Q3), UPPER(X19)) &gt; 0, NOT(EQ(Q3,"")))), FALSE)</f>
        <v>0</v>
      </c>
      <c r="Y28" s="57" t="b">
        <f>IFERROR(IF(Y21, AND(FIND(UPPER(G3), UPPER(Y19)) &gt; 0, NOT(EQ(G3,""))), AND(FIND(UPPER(Q3), UPPER(Y19)) &gt; 0, NOT(EQ(Q3,"")))), FALSE)</f>
        <v>0</v>
      </c>
      <c r="Z28" s="46"/>
      <c r="AA28" s="46"/>
    </row>
    <row r="29">
      <c r="B29" s="81">
        <v>10.0</v>
      </c>
      <c r="C29" s="82">
        <f t="shared" ref="C29:H29" si="16">COUNTIF(C4:C27, "=10")</f>
        <v>3</v>
      </c>
      <c r="D29" s="83">
        <f t="shared" si="16"/>
        <v>3</v>
      </c>
      <c r="E29" s="82">
        <f t="shared" si="16"/>
        <v>0</v>
      </c>
      <c r="F29" s="83">
        <f t="shared" si="16"/>
        <v>1</v>
      </c>
      <c r="G29" s="82">
        <f t="shared" si="16"/>
        <v>0</v>
      </c>
      <c r="H29" s="83">
        <f t="shared" si="16"/>
        <v>0</v>
      </c>
      <c r="I29" s="84"/>
      <c r="J29" s="25"/>
      <c r="K29" s="85"/>
      <c r="L29" s="86">
        <v>10.0</v>
      </c>
      <c r="M29" s="87">
        <f t="shared" ref="M29:R29" si="17">COUNTIF(M4:M27, "=10")</f>
        <v>5</v>
      </c>
      <c r="N29" s="88">
        <f t="shared" si="17"/>
        <v>0</v>
      </c>
      <c r="O29" s="87">
        <f t="shared" si="17"/>
        <v>1</v>
      </c>
      <c r="P29" s="88">
        <f t="shared" si="17"/>
        <v>0</v>
      </c>
      <c r="Q29" s="87">
        <f t="shared" si="17"/>
        <v>0</v>
      </c>
      <c r="R29" s="88">
        <f t="shared" si="17"/>
        <v>0</v>
      </c>
      <c r="S29" s="84"/>
      <c r="T29" s="25"/>
      <c r="U29" s="85"/>
      <c r="V29" s="57" t="b">
        <f>IFERROR(IF(V21, AND(FIND(UPPER(H3), UPPER(V19)) &gt; 0, NOT(EQ(H3,""))), AND(FIND(UPPER(R3), UPPER(V19)) &gt; 0, NOT(EQ(R3,"")))), FALSE)</f>
        <v>0</v>
      </c>
      <c r="W29" s="57" t="b">
        <f>IFERROR(IF(W21, AND(FIND(UPPER(C3), UPPER(W19)) &gt; 0, NOT(EQ(C3,""))), AND(FIND(UPPER(M3), UPPER(W19)) &gt; 0, NOT(EQ(M3,"")))), FALSE)</f>
        <v>0</v>
      </c>
      <c r="X29" s="57" t="b">
        <f>IFERROR(IF(X21, AND(FIND(UPPER(H3), UPPER(X19)) &gt; 0, NOT(EQ(H3,""))), AND(FIND(UPPER(R3), UPPER(X19)) &gt; 0, NOT(EQ(R3,"")))), FALSE)</f>
        <v>0</v>
      </c>
      <c r="Y29" s="57" t="b">
        <f>IFERROR(IF(Y21, AND(FIND(UPPER(H3), UPPER(Y19)) &gt; 0, NOT(EQ(H3,""))), AND(FIND(UPPER(R3), UPPER(Y19)) &gt; 0, NOT(EQ(R3,"")))), FALSE)</f>
        <v>0</v>
      </c>
      <c r="Z29" s="46"/>
      <c r="AA29" s="46"/>
    </row>
    <row r="30">
      <c r="B30" s="81">
        <v>-5.0</v>
      </c>
      <c r="C30" s="89">
        <f t="shared" ref="C30:H30" si="18">COUNTIF(C4:C27, "=-5")</f>
        <v>1</v>
      </c>
      <c r="D30" s="90">
        <f t="shared" si="18"/>
        <v>1</v>
      </c>
      <c r="E30" s="89">
        <f t="shared" si="18"/>
        <v>0</v>
      </c>
      <c r="F30" s="90">
        <f t="shared" si="18"/>
        <v>0</v>
      </c>
      <c r="G30" s="89">
        <f t="shared" si="18"/>
        <v>0</v>
      </c>
      <c r="H30" s="90">
        <f t="shared" si="18"/>
        <v>0</v>
      </c>
      <c r="I30" s="91">
        <f>sum(I4:I23)</f>
        <v>170</v>
      </c>
      <c r="J30" s="25"/>
      <c r="K30" s="92">
        <f>IFERROR(I30/SUM(C28:G29), 0)</f>
        <v>17</v>
      </c>
      <c r="L30" s="86">
        <v>-5.0</v>
      </c>
      <c r="M30" s="93">
        <f t="shared" ref="M30:R30" si="19">COUNTIF(M4:M27, "=-5")</f>
        <v>1</v>
      </c>
      <c r="N30" s="94">
        <f t="shared" si="19"/>
        <v>1</v>
      </c>
      <c r="O30" s="93">
        <f t="shared" si="19"/>
        <v>0</v>
      </c>
      <c r="P30" s="94">
        <f t="shared" si="19"/>
        <v>0</v>
      </c>
      <c r="Q30" s="93">
        <f t="shared" si="19"/>
        <v>0</v>
      </c>
      <c r="R30" s="94">
        <f t="shared" si="19"/>
        <v>0</v>
      </c>
      <c r="S30" s="95">
        <f>sum(S4:S23)</f>
        <v>140</v>
      </c>
      <c r="T30" s="25"/>
      <c r="U30" s="96">
        <f>IFERROR(S30/SUM(M28:Q29), 0)</f>
        <v>17.5</v>
      </c>
      <c r="V30" s="57" t="b">
        <f t="shared" ref="V30:W30" si="20">AND(IF(AND(COUNTIF(V24:V29, TRUE)=2, IFERROR(FIND("-", V19) &gt; 0, TRUE)), TRUE, IF(AND(COUNTIF(V24:V29, TRUE)=1, IFERROR(FIND("-", V19) &gt; 0, FALSE)), TRUE, FALSE)),V23)</f>
        <v>0</v>
      </c>
      <c r="W30" s="57" t="b">
        <f t="shared" si="20"/>
        <v>0</v>
      </c>
      <c r="X30" s="57" t="b">
        <f>AND(IF(AND(COUNTIF(X24:X29, TRUE)= 2, IFERROR(FIND("-", X19) &gt; 0, TRUE)), TRUE, IF(AND(COUNTIF(X24:X29,TRUE)=1, IFERROR(FIND("-", X19) &gt; 0, FALSE)), TRUE, FALSE)),X23)</f>
        <v>0</v>
      </c>
      <c r="Y30" s="57" t="b">
        <f>AND(IF(AND(COUNTIF(Y24:Y29, TRUE)=2, IFERROR(FIND("-", Y19) &gt; 0, TRUE)), TRUE, IF(AND(COUNTIF(Y24:Y29, TRUE)=1, IFERROR(FIND("-", Y19) &gt; 0, FALSE)), TRUE, FALSE)),Y23)</f>
        <v>0</v>
      </c>
      <c r="Z30" s="46"/>
      <c r="AA30" s="46"/>
    </row>
    <row r="31">
      <c r="B31" s="97" t="s">
        <v>63</v>
      </c>
      <c r="C31" s="98">
        <f t="shared" ref="C31:H31" si="21">(C28*15)+(C29*10)+(C30*-5)</f>
        <v>40</v>
      </c>
      <c r="D31" s="99">
        <f t="shared" si="21"/>
        <v>55</v>
      </c>
      <c r="E31" s="98">
        <f t="shared" si="21"/>
        <v>0</v>
      </c>
      <c r="F31" s="99">
        <f t="shared" si="21"/>
        <v>10</v>
      </c>
      <c r="G31" s="98">
        <f t="shared" si="21"/>
        <v>0</v>
      </c>
      <c r="H31" s="99">
        <f t="shared" si="21"/>
        <v>0</v>
      </c>
      <c r="I31" s="100"/>
      <c r="J31" s="69"/>
      <c r="K31" s="101"/>
      <c r="L31" s="102" t="s">
        <v>63</v>
      </c>
      <c r="M31" s="103">
        <f t="shared" ref="M31:R31" si="22">(M28*15)+(M29*10)+(M30*-5)</f>
        <v>75</v>
      </c>
      <c r="N31" s="99">
        <f t="shared" si="22"/>
        <v>-5</v>
      </c>
      <c r="O31" s="103">
        <f t="shared" si="22"/>
        <v>10</v>
      </c>
      <c r="P31" s="99">
        <f t="shared" si="22"/>
        <v>0</v>
      </c>
      <c r="Q31" s="103">
        <f t="shared" si="22"/>
        <v>0</v>
      </c>
      <c r="R31" s="99">
        <f t="shared" si="22"/>
        <v>0</v>
      </c>
      <c r="S31" s="100"/>
      <c r="T31" s="69"/>
      <c r="U31" s="101"/>
      <c r="V31" s="40" t="b">
        <f t="shared" ref="V31:Y31" si="23">OR(AND(V30, OR(V21,V22)),V20)</f>
        <v>1</v>
      </c>
      <c r="W31" s="40" t="b">
        <f t="shared" si="23"/>
        <v>1</v>
      </c>
      <c r="X31" s="40" t="b">
        <f t="shared" si="23"/>
        <v>1</v>
      </c>
      <c r="Y31" s="40" t="b">
        <f t="shared" si="23"/>
        <v>1</v>
      </c>
      <c r="Z31" s="46"/>
      <c r="AA31" s="46"/>
    </row>
    <row r="32">
      <c r="B32" s="104">
        <f>K27</f>
        <v>275</v>
      </c>
      <c r="I32" s="25"/>
      <c r="J32" s="105" t="s">
        <v>64</v>
      </c>
      <c r="K32" s="106"/>
      <c r="L32" s="106"/>
      <c r="M32" s="74"/>
      <c r="N32" s="107">
        <f>U27</f>
        <v>220</v>
      </c>
      <c r="O32" s="106"/>
      <c r="P32" s="106"/>
      <c r="Q32" s="106"/>
      <c r="R32" s="106"/>
      <c r="S32" s="106"/>
      <c r="T32" s="106"/>
      <c r="U32" s="74"/>
      <c r="V32" s="40" t="b">
        <f>AND(V31:Y31)</f>
        <v>1</v>
      </c>
      <c r="W32" s="40"/>
      <c r="X32" s="40"/>
      <c r="Y32" s="40"/>
      <c r="Z32" s="46"/>
      <c r="AA32" s="46"/>
    </row>
    <row r="33">
      <c r="B33" s="84"/>
      <c r="I33" s="25"/>
      <c r="J33" s="84"/>
      <c r="M33" s="25"/>
      <c r="N33" s="84"/>
      <c r="U33" s="25"/>
      <c r="V33" s="40"/>
      <c r="W33" s="40"/>
      <c r="X33" s="40"/>
      <c r="Y33" s="40"/>
      <c r="Z33" s="46"/>
      <c r="AA33" s="46"/>
    </row>
    <row r="34">
      <c r="B34" s="100"/>
      <c r="C34" s="109"/>
      <c r="D34" s="109"/>
      <c r="E34" s="109"/>
      <c r="F34" s="109"/>
      <c r="G34" s="109"/>
      <c r="H34" s="109"/>
      <c r="I34" s="69"/>
      <c r="J34" s="100"/>
      <c r="K34" s="109"/>
      <c r="L34" s="109"/>
      <c r="M34" s="69"/>
      <c r="N34" s="100"/>
      <c r="O34" s="109"/>
      <c r="P34" s="109"/>
      <c r="Q34" s="109"/>
      <c r="R34" s="109"/>
      <c r="S34" s="109"/>
      <c r="T34" s="109"/>
      <c r="U34" s="69"/>
      <c r="V34" s="46"/>
      <c r="W34" s="46"/>
      <c r="X34" s="46"/>
      <c r="Y34" s="46"/>
      <c r="Z34" s="46"/>
      <c r="AA34" s="46"/>
    </row>
    <row r="35">
      <c r="V35" s="46"/>
      <c r="W35" s="46"/>
      <c r="X35" s="46"/>
      <c r="Y35" s="46"/>
      <c r="Z35" s="46"/>
      <c r="AA35" s="40"/>
    </row>
    <row r="36">
      <c r="V36" s="46"/>
      <c r="W36" s="46"/>
      <c r="X36" s="46"/>
      <c r="Y36" s="46"/>
      <c r="Z36" s="46"/>
      <c r="AA36" s="40"/>
    </row>
    <row r="37">
      <c r="C37" s="156"/>
      <c r="V37" s="46"/>
      <c r="W37" s="46"/>
      <c r="X37" s="46"/>
      <c r="Y37" s="46"/>
      <c r="Z37" s="46"/>
      <c r="AA37" s="40"/>
    </row>
    <row r="38">
      <c r="C38" s="111"/>
      <c r="V38" s="46"/>
      <c r="W38" s="46"/>
      <c r="X38" s="46"/>
      <c r="Y38" s="46"/>
      <c r="Z38" s="46"/>
      <c r="AA38" s="40"/>
    </row>
    <row r="39">
      <c r="V39" s="46"/>
      <c r="W39" s="46"/>
      <c r="X39" s="46"/>
      <c r="Y39" s="46"/>
      <c r="Z39" s="46"/>
      <c r="AA39" s="40"/>
    </row>
    <row r="40">
      <c r="V40" s="46"/>
      <c r="W40" s="46"/>
      <c r="X40" s="46"/>
      <c r="Y40" s="112"/>
      <c r="Z40" s="112"/>
      <c r="AA40" s="40"/>
    </row>
    <row r="41">
      <c r="V41" s="46"/>
      <c r="W41" s="46"/>
      <c r="X41" s="46"/>
      <c r="Y41" s="46"/>
      <c r="Z41" s="46"/>
      <c r="AA41" s="40"/>
    </row>
    <row r="42">
      <c r="V42" s="46"/>
      <c r="W42" s="46"/>
      <c r="X42" s="46"/>
      <c r="Y42" s="46"/>
      <c r="Z42" s="46"/>
      <c r="AA42" s="40"/>
    </row>
    <row r="43">
      <c r="V43" s="46"/>
      <c r="W43" s="46"/>
      <c r="X43" s="46"/>
      <c r="Y43" s="46"/>
      <c r="Z43" s="46"/>
      <c r="AA43" s="40"/>
    </row>
    <row r="44">
      <c r="C44" s="113"/>
      <c r="F44" s="113"/>
      <c r="G44" s="113"/>
      <c r="V44" s="114"/>
      <c r="W44" s="46"/>
      <c r="X44" s="46"/>
      <c r="Y44" s="46"/>
      <c r="Z44" s="46"/>
      <c r="AA44" s="40"/>
    </row>
    <row r="45">
      <c r="C45" s="113"/>
      <c r="F45" s="113"/>
      <c r="G45" s="113"/>
      <c r="V45" s="40"/>
      <c r="W45" s="40"/>
      <c r="X45" s="40"/>
      <c r="Y45" s="40"/>
      <c r="Z45" s="40"/>
      <c r="AA45" s="40"/>
    </row>
    <row r="46">
      <c r="C46" s="115" t="s">
        <v>66</v>
      </c>
      <c r="F46" s="113"/>
      <c r="G46" s="113"/>
      <c r="V46" s="40"/>
      <c r="W46" s="40"/>
      <c r="X46" s="40"/>
      <c r="Y46" s="40"/>
      <c r="Z46" s="40"/>
      <c r="AA46" s="40"/>
    </row>
    <row r="47">
      <c r="C47" s="116"/>
      <c r="V47" s="40"/>
      <c r="W47" s="40"/>
      <c r="X47" s="40"/>
      <c r="Y47" s="40"/>
      <c r="Z47" s="40"/>
      <c r="AA47" s="40"/>
    </row>
    <row r="48">
      <c r="V48" s="40"/>
      <c r="W48" s="40"/>
      <c r="X48" s="40"/>
      <c r="Y48" s="40"/>
      <c r="Z48" s="40"/>
      <c r="AA48" s="40"/>
    </row>
    <row r="49">
      <c r="V49" s="40"/>
      <c r="W49" s="40"/>
      <c r="X49" s="40"/>
      <c r="Y49" s="40"/>
      <c r="Z49" s="40"/>
      <c r="AA49" s="40"/>
    </row>
    <row r="50">
      <c r="V50" s="40"/>
      <c r="W50" s="40"/>
      <c r="X50" s="40"/>
      <c r="Y50" s="40"/>
      <c r="Z50" s="40"/>
      <c r="AA50" s="40"/>
    </row>
    <row r="51">
      <c r="V51" s="40"/>
      <c r="W51" s="40"/>
      <c r="X51" s="40"/>
      <c r="Y51" s="40"/>
      <c r="Z51" s="40"/>
      <c r="AA51" s="40"/>
    </row>
    <row r="52">
      <c r="V52" s="40"/>
      <c r="W52" s="40"/>
      <c r="X52" s="40"/>
      <c r="Y52" s="40"/>
      <c r="Z52" s="40"/>
      <c r="AA52" s="40"/>
    </row>
    <row r="53">
      <c r="C53" s="113"/>
      <c r="F53" s="113"/>
      <c r="G53" s="113"/>
      <c r="V53" s="40"/>
      <c r="W53" s="40"/>
      <c r="X53" s="40"/>
      <c r="Y53" s="40"/>
      <c r="Z53" s="40"/>
      <c r="AA53" s="40"/>
    </row>
    <row r="54">
      <c r="C54" s="113"/>
      <c r="F54" s="113"/>
      <c r="G54" s="113"/>
      <c r="V54" s="40"/>
      <c r="W54" s="40"/>
      <c r="X54" s="40"/>
      <c r="Y54" s="40"/>
      <c r="Z54" s="40"/>
      <c r="AA54" s="40"/>
    </row>
  </sheetData>
  <mergeCells count="18">
    <mergeCell ref="I30:J31"/>
    <mergeCell ref="B32:I34"/>
    <mergeCell ref="C38:T43"/>
    <mergeCell ref="C47:T52"/>
    <mergeCell ref="J32:M34"/>
    <mergeCell ref="N32:U34"/>
    <mergeCell ref="U30:U31"/>
    <mergeCell ref="S30:T31"/>
    <mergeCell ref="K28:K29"/>
    <mergeCell ref="S28:T29"/>
    <mergeCell ref="K30:K31"/>
    <mergeCell ref="G1:Q1"/>
    <mergeCell ref="C2:K2"/>
    <mergeCell ref="L2:L3"/>
    <mergeCell ref="M2:U2"/>
    <mergeCell ref="L24:L27"/>
    <mergeCell ref="I28:J29"/>
    <mergeCell ref="U28:U29"/>
  </mergeCells>
  <conditionalFormatting sqref="C4:U23">
    <cfRule type="expression" dxfId="0" priority="1">
      <formula>$I:$I&lt;&gt;""</formula>
    </cfRule>
  </conditionalFormatting>
  <conditionalFormatting sqref="C4:U23">
    <cfRule type="expression" dxfId="0" priority="2">
      <formula>$S:$S&lt;&gt;""</formula>
    </cfRule>
  </conditionalFormatting>
  <conditionalFormatting sqref="A1">
    <cfRule type="notContainsBlanks" dxfId="1" priority="3">
      <formula>LEN(TRIM(A1))&gt;0</formula>
    </cfRule>
  </conditionalFormatting>
  <conditionalFormatting sqref="X12">
    <cfRule type="notContainsBlanks" dxfId="1" priority="4">
      <formula>LEN(TRIM(X12))&gt;0</formula>
    </cfRule>
  </conditionalFormatting>
  <conditionalFormatting sqref="C38:T43">
    <cfRule type="expression" dxfId="2" priority="5">
      <formula>NOT(V32)</formula>
    </cfRule>
  </conditionalFormatting>
  <conditionalFormatting sqref="C37">
    <cfRule type="expression" dxfId="3" priority="6">
      <formula>NOT(V32)</formula>
    </cfRule>
  </conditionalFormatting>
  <dataValidations>
    <dataValidation type="list" allowBlank="1" showErrorMessage="1" sqref="M3:R3">
      <formula1>'ROUND 6'!$X$5:$X$11</formula1>
    </dataValidation>
    <dataValidation type="list" allowBlank="1" showErrorMessage="1" sqref="I4:I23 S4:S23">
      <formula1>"0,10,20,30"</formula1>
    </dataValidation>
    <dataValidation type="list" allowBlank="1" showErrorMessage="1" sqref="C4:H27 M4:R27">
      <formula1>"-5,10,15"</formula1>
    </dataValidation>
    <dataValidation type="list" allowBlank="1" showErrorMessage="1" sqref="C3:H3">
      <formula1>'ROUND 6'!$W$5:$W$11</formula1>
    </dataValidation>
    <dataValidation type="list" allowBlank="1" showErrorMessage="1" sqref="C2 M2">
      <formula1>INSTRUCTIONS!$A$28:$AJ$28</formula1>
    </dataValidation>
  </dataValidation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1" max="1" width="1.29"/>
    <col customWidth="1" min="2" max="2" width="5.0"/>
    <col customWidth="1" min="3" max="7" width="8.71"/>
    <col customWidth="1" min="8" max="8" width="8.43"/>
    <col customWidth="1" min="9" max="9" width="9.14"/>
    <col customWidth="1" min="10" max="10" width="8.29"/>
    <col customWidth="1" min="11" max="11" width="8.0"/>
    <col customWidth="1" min="12" max="12" width="8.86"/>
    <col customWidth="1" min="13" max="13" width="8.71"/>
    <col customWidth="1" min="14" max="14" width="8.43"/>
    <col customWidth="1" min="15" max="18" width="8.71"/>
    <col customWidth="1" min="19" max="19" width="8.86"/>
    <col customWidth="1" min="20" max="20" width="8.0"/>
    <col customWidth="1" min="21" max="21" width="8.43"/>
    <col customWidth="1" min="22" max="22" width="21.57"/>
  </cols>
  <sheetData>
    <row r="1" ht="18.75" customHeight="1">
      <c r="C1" s="2"/>
      <c r="D1" s="2"/>
      <c r="E1" s="2"/>
      <c r="F1" s="2"/>
      <c r="G1" s="5" t="s">
        <v>81</v>
      </c>
      <c r="R1" s="2"/>
      <c r="S1" s="2"/>
      <c r="T1" s="2"/>
      <c r="U1" s="2"/>
      <c r="V1" s="7"/>
      <c r="W1" s="7"/>
      <c r="X1" s="7"/>
      <c r="Y1" s="7"/>
      <c r="Z1" s="7"/>
    </row>
    <row r="2" ht="18.75" customHeight="1">
      <c r="C2" s="9" t="s">
        <v>82</v>
      </c>
      <c r="D2" s="11"/>
      <c r="E2" s="11"/>
      <c r="F2" s="11"/>
      <c r="G2" s="11"/>
      <c r="H2" s="11"/>
      <c r="I2" s="11"/>
      <c r="J2" s="11"/>
      <c r="K2" s="12"/>
      <c r="L2" s="15" t="s">
        <v>9</v>
      </c>
      <c r="M2" s="17" t="s">
        <v>83</v>
      </c>
      <c r="N2" s="11"/>
      <c r="O2" s="11"/>
      <c r="P2" s="11"/>
      <c r="Q2" s="11"/>
      <c r="R2" s="11"/>
      <c r="S2" s="11"/>
      <c r="T2" s="11"/>
      <c r="U2" s="12"/>
      <c r="V2" s="7"/>
      <c r="W2" s="7"/>
      <c r="X2" s="7"/>
      <c r="Y2" s="7"/>
      <c r="Z2" s="7"/>
    </row>
    <row r="3">
      <c r="C3" s="18" t="s">
        <v>84</v>
      </c>
      <c r="D3" s="20" t="s">
        <v>85</v>
      </c>
      <c r="E3" s="22" t="s">
        <v>86</v>
      </c>
      <c r="F3" s="20"/>
      <c r="G3" s="22"/>
      <c r="H3" s="20"/>
      <c r="I3" s="23" t="s">
        <v>24</v>
      </c>
      <c r="J3" s="24" t="s">
        <v>27</v>
      </c>
      <c r="K3" s="23" t="s">
        <v>29</v>
      </c>
      <c r="L3" s="25"/>
      <c r="M3" s="26" t="s">
        <v>87</v>
      </c>
      <c r="N3" s="28" t="s">
        <v>88</v>
      </c>
      <c r="O3" s="26" t="s">
        <v>89</v>
      </c>
      <c r="P3" s="28" t="s">
        <v>90</v>
      </c>
      <c r="Q3" s="26"/>
      <c r="R3" s="30"/>
      <c r="S3" s="23" t="s">
        <v>24</v>
      </c>
      <c r="T3" s="24" t="s">
        <v>27</v>
      </c>
      <c r="U3" s="23" t="s">
        <v>29</v>
      </c>
      <c r="V3" s="7"/>
      <c r="W3" s="7"/>
      <c r="X3" s="7"/>
      <c r="Y3" s="7"/>
      <c r="Z3" s="7"/>
    </row>
    <row r="4">
      <c r="C4" s="31"/>
      <c r="D4" s="32"/>
      <c r="E4" s="32"/>
      <c r="F4" s="32"/>
      <c r="G4" s="32"/>
      <c r="H4" s="32"/>
      <c r="I4" s="32"/>
      <c r="J4" s="37">
        <f t="shared" ref="J4:J23" si="1">IF(AND(COUNTA(C4:H4)=0,I4&gt;0), "BON.ERR", IF(COUNTA(C4:H4)&lt;=1, IF(AND(OR(C4&lt;0, D4&lt;0, E4&lt;0, F4&lt;0, G4&lt;0, H4&lt;0), I4&gt;0), "BON.ERR", SUM(C4:I4)), "TEAM.ERR"))</f>
        <v>0</v>
      </c>
      <c r="K4" s="38">
        <f>if(sum(sum(C4:H4), M4:R4)&lt;-6, "NEG.ERR", if(and(sum(C4:I4)&gt;0, sum(M4:S4)&gt;0), "ERROR", sum(J4)))</f>
        <v>0</v>
      </c>
      <c r="L4" s="39">
        <v>1.0</v>
      </c>
      <c r="M4" s="32"/>
      <c r="N4" s="32"/>
      <c r="O4" s="37">
        <v>10.0</v>
      </c>
      <c r="P4" s="32"/>
      <c r="Q4" s="32"/>
      <c r="R4" s="32"/>
      <c r="S4" s="37">
        <v>20.0</v>
      </c>
      <c r="T4" s="37">
        <f t="shared" ref="T4:T23" si="2">IF(AND(COUNTA(M4:R4)=0,S4&gt;0), "BON.ERR", IF(COUNTA(M4:R4)&lt;=1, IF(AND(OR(M4&lt;0, N4&lt;0, O4&lt;0, P4&lt;0, Q4&lt;0, R4&lt;0), S4&gt;0), "BON.ERR", SUM(M4:S4)), "TEAM.ERR"))</f>
        <v>30</v>
      </c>
      <c r="U4" s="38">
        <f>if(sum(sum(C4:H4), M4:R4)&lt;-6, "NEG.ERR", if(and(sum(C4:H4)&gt;0, sum(M4:R4)&gt;0), "ERROR", sum(T4)))</f>
        <v>30</v>
      </c>
      <c r="V4" s="40"/>
      <c r="W4" s="41" t="str">
        <f>IFERROR(__xludf.DUMMYFUNCTION("filter(INSTRUCTIONS!A28:AJ39, INSTRUCTIONS!A28:AJ28=C2)"),"COOPER B")</f>
        <v>COOPER B</v>
      </c>
      <c r="X4" s="41" t="str">
        <f>IFERROR(__xludf.DUMMYFUNCTION("filter(INSTRUCTIONS!A28:AJ39, INSTRUCTIONS!A28:AJ28=M2)"),"MARSHALL")</f>
        <v>MARSHALL</v>
      </c>
      <c r="Y4" s="41"/>
      <c r="Z4" s="40"/>
      <c r="AA4" s="40"/>
    </row>
    <row r="5">
      <c r="C5" s="31"/>
      <c r="D5" s="32"/>
      <c r="E5" s="32"/>
      <c r="F5" s="32"/>
      <c r="G5" s="32"/>
      <c r="H5" s="32"/>
      <c r="I5" s="32"/>
      <c r="J5" s="37">
        <f t="shared" si="1"/>
        <v>0</v>
      </c>
      <c r="K5" s="38">
        <f t="shared" ref="K5:K27" si="3">if(sum(sum(C5:H5), M5:R5)&lt;-6, "NEG.ERR", if(and(sum(C5:I5)&gt;0, sum(M5:S5)&gt;0), "ERROR", sum(J5,K4)))</f>
        <v>0</v>
      </c>
      <c r="L5" s="39">
        <v>2.0</v>
      </c>
      <c r="M5" s="32"/>
      <c r="N5" s="32"/>
      <c r="O5" s="37">
        <v>10.0</v>
      </c>
      <c r="P5" s="32"/>
      <c r="Q5" s="42"/>
      <c r="R5" s="42"/>
      <c r="S5" s="37">
        <v>20.0</v>
      </c>
      <c r="T5" s="37">
        <f t="shared" si="2"/>
        <v>30</v>
      </c>
      <c r="U5" s="38">
        <f t="shared" ref="U5:U27" si="4">if(sum(sum(C5:H5), M5:R5)&lt;-6, "NEG.ERR", if(and(sum(C5:H5)&gt;0, sum(M5:R5)&gt;0), "ERROR", sum(T5,U4)))</f>
        <v>60</v>
      </c>
      <c r="V5" s="40"/>
      <c r="W5" s="41" t="str">
        <f>IFERROR(__xludf.DUMMYFUNCTION("""COMPUTED_VALUE"""),"Allison Z")</f>
        <v>Allison Z</v>
      </c>
      <c r="X5" s="41" t="str">
        <f>IFERROR(__xludf.DUMMYFUNCTION("""COMPUTED_VALUE"""),"Robert Chitic-Patapievici")</f>
        <v>Robert Chitic-Patapievici</v>
      </c>
      <c r="Y5" s="41"/>
      <c r="Z5" s="40"/>
      <c r="AA5" s="40"/>
    </row>
    <row r="6">
      <c r="C6" s="58"/>
      <c r="D6" s="59"/>
      <c r="E6" s="60"/>
      <c r="F6" s="61"/>
      <c r="G6" s="60"/>
      <c r="H6" s="59"/>
      <c r="I6" s="62"/>
      <c r="J6" s="63">
        <f t="shared" si="1"/>
        <v>0</v>
      </c>
      <c r="K6" s="64">
        <f t="shared" si="3"/>
        <v>0</v>
      </c>
      <c r="L6" s="65">
        <v>3.0</v>
      </c>
      <c r="M6" s="66"/>
      <c r="N6" s="59"/>
      <c r="O6" s="30"/>
      <c r="P6" s="61"/>
      <c r="Q6" s="30"/>
      <c r="R6" s="59"/>
      <c r="S6" s="62"/>
      <c r="T6" s="63">
        <f t="shared" si="2"/>
        <v>0</v>
      </c>
      <c r="U6" s="64">
        <f t="shared" si="4"/>
        <v>60</v>
      </c>
      <c r="V6" s="40"/>
      <c r="W6" s="41" t="str">
        <f>IFERROR(__xludf.DUMMYFUNCTION("""COMPUTED_VALUE"""),"Brenda L")</f>
        <v>Brenda L</v>
      </c>
      <c r="X6" s="41" t="str">
        <f>IFERROR(__xludf.DUMMYFUNCTION("""COMPUTED_VALUE"""),"Bharat Kalra")</f>
        <v>Bharat Kalra</v>
      </c>
      <c r="Y6" s="41"/>
      <c r="Z6" s="40"/>
      <c r="AA6" s="40"/>
    </row>
    <row r="7">
      <c r="C7" s="31"/>
      <c r="D7" s="42"/>
      <c r="E7" s="42"/>
      <c r="F7" s="42"/>
      <c r="G7" s="42"/>
      <c r="H7" s="32"/>
      <c r="I7" s="32"/>
      <c r="J7" s="37">
        <f t="shared" si="1"/>
        <v>0</v>
      </c>
      <c r="K7" s="38">
        <f t="shared" si="3"/>
        <v>0</v>
      </c>
      <c r="L7" s="39">
        <v>4.0</v>
      </c>
      <c r="M7" s="38">
        <v>15.0</v>
      </c>
      <c r="N7" s="42"/>
      <c r="O7" s="42"/>
      <c r="P7" s="42"/>
      <c r="Q7" s="42"/>
      <c r="R7" s="42"/>
      <c r="S7" s="38">
        <v>10.0</v>
      </c>
      <c r="T7" s="37">
        <f t="shared" si="2"/>
        <v>25</v>
      </c>
      <c r="U7" s="38">
        <f t="shared" si="4"/>
        <v>85</v>
      </c>
      <c r="V7" s="40"/>
      <c r="W7" s="41" t="str">
        <f>IFERROR(__xludf.DUMMYFUNCTION("""COMPUTED_VALUE"""),"Aiden M")</f>
        <v>Aiden M</v>
      </c>
      <c r="X7" s="41" t="str">
        <f>IFERROR(__xludf.DUMMYFUNCTION("""COMPUTED_VALUE"""),"Nolan Reynolds")</f>
        <v>Nolan Reynolds</v>
      </c>
      <c r="Y7" s="41"/>
      <c r="Z7" s="40"/>
      <c r="AA7" s="40"/>
    </row>
    <row r="8">
      <c r="C8" s="31"/>
      <c r="D8" s="37">
        <v>10.0</v>
      </c>
      <c r="E8" s="32"/>
      <c r="F8" s="32"/>
      <c r="G8" s="42"/>
      <c r="H8" s="42"/>
      <c r="I8" s="37">
        <v>10.0</v>
      </c>
      <c r="J8" s="37">
        <f t="shared" si="1"/>
        <v>20</v>
      </c>
      <c r="K8" s="38">
        <f t="shared" si="3"/>
        <v>20</v>
      </c>
      <c r="L8" s="39">
        <v>5.0</v>
      </c>
      <c r="M8" s="37">
        <v>-5.0</v>
      </c>
      <c r="N8" s="42"/>
      <c r="O8" s="42"/>
      <c r="P8" s="42"/>
      <c r="Q8" s="32"/>
      <c r="R8" s="42"/>
      <c r="S8" s="32"/>
      <c r="T8" s="37">
        <f t="shared" si="2"/>
        <v>-5</v>
      </c>
      <c r="U8" s="38">
        <f t="shared" si="4"/>
        <v>80</v>
      </c>
      <c r="V8" s="40"/>
      <c r="W8" s="41" t="str">
        <f>IFERROR(__xludf.DUMMYFUNCTION("""COMPUTED_VALUE"""),"")</f>
        <v/>
      </c>
      <c r="X8" s="41" t="str">
        <f>IFERROR(__xludf.DUMMYFUNCTION("""COMPUTED_VALUE"""),"Will Tedesco")</f>
        <v>Will Tedesco</v>
      </c>
      <c r="Y8" s="41"/>
      <c r="Z8" s="40"/>
      <c r="AA8" s="40"/>
    </row>
    <row r="9">
      <c r="C9" s="44"/>
      <c r="D9" s="32"/>
      <c r="E9" s="32"/>
      <c r="F9" s="32"/>
      <c r="G9" s="32"/>
      <c r="H9" s="42"/>
      <c r="I9" s="32"/>
      <c r="J9" s="37">
        <f t="shared" si="1"/>
        <v>0</v>
      </c>
      <c r="K9" s="38">
        <f t="shared" si="3"/>
        <v>20</v>
      </c>
      <c r="L9" s="39">
        <v>6.0</v>
      </c>
      <c r="M9" s="38">
        <v>15.0</v>
      </c>
      <c r="N9" s="42"/>
      <c r="O9" s="42"/>
      <c r="P9" s="32"/>
      <c r="Q9" s="42"/>
      <c r="R9" s="42"/>
      <c r="S9" s="38">
        <v>20.0</v>
      </c>
      <c r="T9" s="37">
        <f t="shared" si="2"/>
        <v>35</v>
      </c>
      <c r="U9" s="38">
        <f t="shared" si="4"/>
        <v>115</v>
      </c>
      <c r="V9" s="40"/>
      <c r="W9" s="41" t="str">
        <f>IFERROR(__xludf.DUMMYFUNCTION("""COMPUTED_VALUE"""),"")</f>
        <v/>
      </c>
      <c r="X9" s="41" t="str">
        <f>IFERROR(__xludf.DUMMYFUNCTION("""COMPUTED_VALUE"""),"")</f>
        <v/>
      </c>
      <c r="Y9" s="41"/>
      <c r="Z9" s="40"/>
      <c r="AA9" s="40"/>
    </row>
    <row r="10">
      <c r="C10" s="44"/>
      <c r="D10" s="32"/>
      <c r="E10" s="42"/>
      <c r="F10" s="32"/>
      <c r="G10" s="42"/>
      <c r="H10" s="42"/>
      <c r="I10" s="32"/>
      <c r="J10" s="37">
        <f t="shared" si="1"/>
        <v>0</v>
      </c>
      <c r="K10" s="38">
        <f t="shared" si="3"/>
        <v>20</v>
      </c>
      <c r="L10" s="39">
        <v>7.0</v>
      </c>
      <c r="M10" s="38">
        <v>10.0</v>
      </c>
      <c r="N10" s="42"/>
      <c r="O10" s="32"/>
      <c r="P10" s="42"/>
      <c r="Q10" s="42"/>
      <c r="R10" s="42"/>
      <c r="S10" s="37">
        <v>10.0</v>
      </c>
      <c r="T10" s="37">
        <f t="shared" si="2"/>
        <v>20</v>
      </c>
      <c r="U10" s="38">
        <f t="shared" si="4"/>
        <v>135</v>
      </c>
      <c r="V10" s="40"/>
      <c r="W10" s="41" t="str">
        <f>IFERROR(__xludf.DUMMYFUNCTION("""COMPUTED_VALUE"""),"")</f>
        <v/>
      </c>
      <c r="X10" s="41" t="str">
        <f>IFERROR(__xludf.DUMMYFUNCTION("""COMPUTED_VALUE"""),"")</f>
        <v/>
      </c>
      <c r="Y10" s="41"/>
      <c r="Z10" s="40"/>
      <c r="AA10" s="40"/>
    </row>
    <row r="11">
      <c r="C11" s="44"/>
      <c r="D11" s="32"/>
      <c r="E11" s="42"/>
      <c r="F11" s="42"/>
      <c r="G11" s="42"/>
      <c r="H11" s="42"/>
      <c r="I11" s="32"/>
      <c r="J11" s="37">
        <f t="shared" si="1"/>
        <v>0</v>
      </c>
      <c r="K11" s="38">
        <f t="shared" si="3"/>
        <v>20</v>
      </c>
      <c r="L11" s="39">
        <v>8.0</v>
      </c>
      <c r="M11" s="42"/>
      <c r="N11" s="42"/>
      <c r="O11" s="42"/>
      <c r="P11" s="38">
        <v>10.0</v>
      </c>
      <c r="Q11" s="42"/>
      <c r="R11" s="42"/>
      <c r="S11" s="38">
        <v>0.0</v>
      </c>
      <c r="T11" s="37">
        <f t="shared" si="2"/>
        <v>10</v>
      </c>
      <c r="U11" s="38">
        <f t="shared" si="4"/>
        <v>145</v>
      </c>
      <c r="V11" s="40"/>
      <c r="W11" s="41" t="str">
        <f>IFERROR(__xludf.DUMMYFUNCTION("""COMPUTED_VALUE"""),"")</f>
        <v/>
      </c>
      <c r="X11" s="41" t="str">
        <f>IFERROR(__xludf.DUMMYFUNCTION("""COMPUTED_VALUE"""),"")</f>
        <v/>
      </c>
      <c r="Y11" s="41"/>
      <c r="Z11" s="40"/>
      <c r="AA11" s="40"/>
    </row>
    <row r="12">
      <c r="C12" s="44"/>
      <c r="D12" s="32"/>
      <c r="E12" s="42"/>
      <c r="F12" s="42"/>
      <c r="G12" s="42"/>
      <c r="H12" s="42"/>
      <c r="I12" s="32"/>
      <c r="J12" s="37">
        <f t="shared" si="1"/>
        <v>0</v>
      </c>
      <c r="K12" s="38">
        <f t="shared" si="3"/>
        <v>20</v>
      </c>
      <c r="L12" s="39">
        <v>9.0</v>
      </c>
      <c r="M12" s="42"/>
      <c r="N12" s="32"/>
      <c r="O12" s="38">
        <v>10.0</v>
      </c>
      <c r="P12" s="42"/>
      <c r="Q12" s="42"/>
      <c r="R12" s="42"/>
      <c r="S12" s="37">
        <v>0.0</v>
      </c>
      <c r="T12" s="37">
        <f t="shared" si="2"/>
        <v>10</v>
      </c>
      <c r="U12" s="38">
        <f t="shared" si="4"/>
        <v>155</v>
      </c>
      <c r="V12" s="40"/>
      <c r="W12" s="41" t="str">
        <f>IFERROR(__xludf.DUMMYFUNCTION("""COMPUTED_VALUE"""),"")</f>
        <v/>
      </c>
      <c r="X12" s="41" t="str">
        <f>IFERROR(__xludf.DUMMYFUNCTION("""COMPUTED_VALUE"""),"")</f>
        <v/>
      </c>
      <c r="Y12" s="41"/>
      <c r="Z12" s="40"/>
      <c r="AA12" s="40"/>
    </row>
    <row r="13">
      <c r="C13" s="44"/>
      <c r="D13" s="32"/>
      <c r="E13" s="32"/>
      <c r="F13" s="42"/>
      <c r="G13" s="42"/>
      <c r="H13" s="42"/>
      <c r="I13" s="32"/>
      <c r="J13" s="37">
        <f t="shared" si="1"/>
        <v>0</v>
      </c>
      <c r="K13" s="38">
        <f t="shared" si="3"/>
        <v>20</v>
      </c>
      <c r="L13" s="39">
        <v>10.0</v>
      </c>
      <c r="M13" s="38">
        <v>10.0</v>
      </c>
      <c r="N13" s="42"/>
      <c r="O13" s="32"/>
      <c r="P13" s="42"/>
      <c r="Q13" s="42"/>
      <c r="R13" s="42"/>
      <c r="S13" s="37">
        <v>20.0</v>
      </c>
      <c r="T13" s="37">
        <f t="shared" si="2"/>
        <v>30</v>
      </c>
      <c r="U13" s="38">
        <f t="shared" si="4"/>
        <v>185</v>
      </c>
      <c r="V13" s="40"/>
      <c r="W13" s="40" t="str">
        <f>IFERROR(__xludf.DUMMYFUNCTION("""COMPUTED_VALUE"""),"")</f>
        <v/>
      </c>
      <c r="X13" s="40" t="str">
        <f>IFERROR(__xludf.DUMMYFUNCTION("""COMPUTED_VALUE"""),"")</f>
        <v/>
      </c>
      <c r="Y13" s="40"/>
      <c r="Z13" s="40"/>
      <c r="AA13" s="40"/>
    </row>
    <row r="14">
      <c r="C14" s="48"/>
      <c r="D14" s="138"/>
      <c r="E14" s="50"/>
      <c r="F14" s="49"/>
      <c r="G14" s="50"/>
      <c r="H14" s="49"/>
      <c r="I14" s="51"/>
      <c r="J14" s="52">
        <f t="shared" si="1"/>
        <v>0</v>
      </c>
      <c r="K14" s="53">
        <f t="shared" si="3"/>
        <v>20</v>
      </c>
      <c r="L14" s="54">
        <v>11.0</v>
      </c>
      <c r="M14" s="55"/>
      <c r="N14" s="49"/>
      <c r="O14" s="55"/>
      <c r="P14" s="49"/>
      <c r="Q14" s="56"/>
      <c r="R14" s="49"/>
      <c r="S14" s="51"/>
      <c r="T14" s="52">
        <f t="shared" si="2"/>
        <v>0</v>
      </c>
      <c r="U14" s="53">
        <f t="shared" si="4"/>
        <v>185</v>
      </c>
      <c r="V14" s="46"/>
      <c r="W14" s="46" t="str">
        <f>IFERROR(__xludf.DUMMYFUNCTION("""COMPUTED_VALUE"""),"")</f>
        <v/>
      </c>
      <c r="X14" s="46" t="str">
        <f>IFERROR(__xludf.DUMMYFUNCTION("""COMPUTED_VALUE"""),"")</f>
        <v/>
      </c>
      <c r="Y14" s="46"/>
      <c r="Z14" s="46"/>
      <c r="AA14" s="46"/>
    </row>
    <row r="15">
      <c r="C15" s="158"/>
      <c r="D15" s="49"/>
      <c r="E15" s="50"/>
      <c r="F15" s="138"/>
      <c r="G15" s="50"/>
      <c r="H15" s="49"/>
      <c r="I15" s="51"/>
      <c r="J15" s="52">
        <f t="shared" si="1"/>
        <v>0</v>
      </c>
      <c r="K15" s="53">
        <f t="shared" si="3"/>
        <v>20</v>
      </c>
      <c r="L15" s="54">
        <v>12.0</v>
      </c>
      <c r="M15" s="56"/>
      <c r="N15" s="138"/>
      <c r="O15" s="56"/>
      <c r="P15" s="49"/>
      <c r="Q15" s="56"/>
      <c r="R15" s="49"/>
      <c r="S15" s="159"/>
      <c r="T15" s="52">
        <f t="shared" si="2"/>
        <v>0</v>
      </c>
      <c r="U15" s="53">
        <f t="shared" si="4"/>
        <v>185</v>
      </c>
      <c r="V15" s="46"/>
      <c r="W15" s="46" t="str">
        <f>IFERROR(__xludf.DUMMYFUNCTION("""COMPUTED_VALUE"""),"")</f>
        <v/>
      </c>
      <c r="X15" s="46" t="str">
        <f>IFERROR(__xludf.DUMMYFUNCTION("""COMPUTED_VALUE"""),"")</f>
        <v/>
      </c>
      <c r="Y15" s="46"/>
      <c r="Z15" s="46"/>
      <c r="AA15" s="46"/>
    </row>
    <row r="16">
      <c r="C16" s="31"/>
      <c r="D16" s="38">
        <v>10.0</v>
      </c>
      <c r="E16" s="42"/>
      <c r="F16" s="42"/>
      <c r="G16" s="42"/>
      <c r="H16" s="32"/>
      <c r="I16" s="37">
        <v>20.0</v>
      </c>
      <c r="J16" s="37">
        <f t="shared" si="1"/>
        <v>30</v>
      </c>
      <c r="K16" s="38">
        <f t="shared" si="3"/>
        <v>50</v>
      </c>
      <c r="L16" s="39">
        <v>13.0</v>
      </c>
      <c r="M16" s="32"/>
      <c r="N16" s="42"/>
      <c r="O16" s="42"/>
      <c r="P16" s="42"/>
      <c r="Q16" s="42"/>
      <c r="R16" s="42"/>
      <c r="S16" s="32"/>
      <c r="T16" s="37">
        <f t="shared" si="2"/>
        <v>0</v>
      </c>
      <c r="U16" s="38">
        <f t="shared" si="4"/>
        <v>185</v>
      </c>
      <c r="V16" s="46"/>
      <c r="W16" s="46"/>
      <c r="X16" s="46"/>
      <c r="Y16" s="46"/>
      <c r="Z16" s="46"/>
      <c r="AA16" s="46"/>
    </row>
    <row r="17">
      <c r="C17" s="31"/>
      <c r="D17" s="42"/>
      <c r="E17" s="42"/>
      <c r="F17" s="42"/>
      <c r="G17" s="42"/>
      <c r="H17" s="42"/>
      <c r="I17" s="32"/>
      <c r="J17" s="37">
        <f t="shared" si="1"/>
        <v>0</v>
      </c>
      <c r="K17" s="38">
        <f t="shared" si="3"/>
        <v>50</v>
      </c>
      <c r="L17" s="39">
        <v>14.0</v>
      </c>
      <c r="M17" s="37">
        <v>10.0</v>
      </c>
      <c r="N17" s="42"/>
      <c r="O17" s="32"/>
      <c r="P17" s="42"/>
      <c r="Q17" s="42"/>
      <c r="R17" s="42"/>
      <c r="S17" s="37">
        <v>20.0</v>
      </c>
      <c r="T17" s="37">
        <f t="shared" si="2"/>
        <v>30</v>
      </c>
      <c r="U17" s="38">
        <f t="shared" si="4"/>
        <v>215</v>
      </c>
      <c r="V17" s="40"/>
      <c r="W17" s="40"/>
      <c r="X17" s="40"/>
      <c r="Y17" s="40"/>
      <c r="Z17" s="46"/>
      <c r="AA17" s="46"/>
    </row>
    <row r="18">
      <c r="C18" s="44"/>
      <c r="D18" s="42"/>
      <c r="E18" s="42"/>
      <c r="F18" s="42"/>
      <c r="G18" s="42"/>
      <c r="H18" s="42"/>
      <c r="I18" s="32"/>
      <c r="J18" s="37">
        <f t="shared" si="1"/>
        <v>0</v>
      </c>
      <c r="K18" s="38">
        <f t="shared" si="3"/>
        <v>50</v>
      </c>
      <c r="L18" s="39">
        <v>15.0</v>
      </c>
      <c r="M18" s="32"/>
      <c r="N18" s="42"/>
      <c r="O18" s="38">
        <v>10.0</v>
      </c>
      <c r="P18" s="42"/>
      <c r="Q18" s="42"/>
      <c r="R18" s="42"/>
      <c r="S18" s="37">
        <v>10.0</v>
      </c>
      <c r="T18" s="37">
        <f t="shared" si="2"/>
        <v>20</v>
      </c>
      <c r="U18" s="38">
        <f t="shared" si="4"/>
        <v>235</v>
      </c>
      <c r="V18" s="40" t="str">
        <f>IFERROR(__xludf.DUMMYFUNCTION("IF(NOT(EQ(C38, """")), SPLIT(C38, "";""), """")"),"")</f>
        <v/>
      </c>
      <c r="W18" s="47"/>
      <c r="X18" s="40"/>
      <c r="Y18" s="40"/>
      <c r="Z18" s="46"/>
      <c r="AA18" s="46"/>
    </row>
    <row r="19">
      <c r="C19" s="158"/>
      <c r="D19" s="49"/>
      <c r="E19" s="50"/>
      <c r="F19" s="49"/>
      <c r="G19" s="50"/>
      <c r="H19" s="49"/>
      <c r="I19" s="51"/>
      <c r="J19" s="52">
        <f t="shared" si="1"/>
        <v>0</v>
      </c>
      <c r="K19" s="53">
        <f t="shared" si="3"/>
        <v>50</v>
      </c>
      <c r="L19" s="54">
        <v>16.0</v>
      </c>
      <c r="M19" s="55"/>
      <c r="N19" s="49"/>
      <c r="O19" s="56"/>
      <c r="P19" s="49"/>
      <c r="Q19" s="56"/>
      <c r="R19" s="49"/>
      <c r="S19" s="51"/>
      <c r="T19" s="52">
        <f t="shared" si="2"/>
        <v>0</v>
      </c>
      <c r="U19" s="53">
        <f t="shared" si="4"/>
        <v>235</v>
      </c>
      <c r="V19" s="40" t="str">
        <f t="shared" ref="V19:Y19" si="5">TRIM(V18)</f>
        <v/>
      </c>
      <c r="W19" s="40" t="str">
        <f t="shared" si="5"/>
        <v/>
      </c>
      <c r="X19" s="40" t="str">
        <f t="shared" si="5"/>
        <v/>
      </c>
      <c r="Y19" s="40" t="str">
        <f t="shared" si="5"/>
        <v/>
      </c>
      <c r="Z19" s="46"/>
      <c r="AA19" s="46"/>
    </row>
    <row r="20">
      <c r="C20" s="31"/>
      <c r="D20" s="38">
        <v>-5.0</v>
      </c>
      <c r="E20" s="42"/>
      <c r="F20" s="42"/>
      <c r="G20" s="42"/>
      <c r="H20" s="42"/>
      <c r="I20" s="32"/>
      <c r="J20" s="37">
        <f t="shared" si="1"/>
        <v>-5</v>
      </c>
      <c r="K20" s="38">
        <f t="shared" si="3"/>
        <v>45</v>
      </c>
      <c r="L20" s="39">
        <v>17.0</v>
      </c>
      <c r="M20" s="37">
        <v>10.0</v>
      </c>
      <c r="N20" s="42"/>
      <c r="O20" s="42"/>
      <c r="P20" s="42"/>
      <c r="Q20" s="42"/>
      <c r="R20" s="42"/>
      <c r="S20" s="37">
        <v>10.0</v>
      </c>
      <c r="T20" s="37">
        <f t="shared" si="2"/>
        <v>20</v>
      </c>
      <c r="U20" s="38">
        <f t="shared" si="4"/>
        <v>255</v>
      </c>
      <c r="V20" s="40" t="b">
        <f t="shared" ref="V20:Y20" si="6">EQ(V19,"")</f>
        <v>1</v>
      </c>
      <c r="W20" s="40" t="b">
        <f t="shared" si="6"/>
        <v>1</v>
      </c>
      <c r="X20" s="40" t="b">
        <f t="shared" si="6"/>
        <v>1</v>
      </c>
      <c r="Y20" s="40" t="b">
        <f t="shared" si="6"/>
        <v>1</v>
      </c>
      <c r="Z20" s="46"/>
      <c r="AA20" s="46"/>
    </row>
    <row r="21">
      <c r="C21" s="44"/>
      <c r="D21" s="42"/>
      <c r="E21" s="42"/>
      <c r="F21" s="42"/>
      <c r="G21" s="42"/>
      <c r="H21" s="42"/>
      <c r="I21" s="32"/>
      <c r="J21" s="37">
        <f t="shared" si="1"/>
        <v>0</v>
      </c>
      <c r="K21" s="38">
        <f t="shared" si="3"/>
        <v>45</v>
      </c>
      <c r="L21" s="39">
        <v>18.0</v>
      </c>
      <c r="M21" s="38">
        <v>10.0</v>
      </c>
      <c r="N21" s="32"/>
      <c r="O21" s="42"/>
      <c r="P21" s="42"/>
      <c r="Q21" s="42"/>
      <c r="R21" s="42"/>
      <c r="S21" s="37">
        <v>20.0</v>
      </c>
      <c r="T21" s="37">
        <f t="shared" si="2"/>
        <v>30</v>
      </c>
      <c r="U21" s="38">
        <f t="shared" si="4"/>
        <v>285</v>
      </c>
      <c r="V21" s="57" t="b">
        <f>EQ(UPPER(C2), LEFT(UPPER(V19), LEN(C2)))</f>
        <v>0</v>
      </c>
      <c r="W21" s="57" t="b">
        <f>EQ(UPPER(C2), LEFT(UPPER(W19), LEN(C2)))</f>
        <v>0</v>
      </c>
      <c r="X21" s="57" t="b">
        <f>EQ(UPPER(C2), LEFT(UPPER(X19), LEN(C2)))</f>
        <v>0</v>
      </c>
      <c r="Y21" s="57" t="b">
        <f>EQ(UPPER(C2), LEFT(UPPER(Y19), LEN(C2)))</f>
        <v>0</v>
      </c>
      <c r="Z21" s="46"/>
      <c r="AA21" s="46"/>
    </row>
    <row r="22">
      <c r="C22" s="44"/>
      <c r="D22" s="42"/>
      <c r="E22" s="42"/>
      <c r="F22" s="42"/>
      <c r="G22" s="42"/>
      <c r="H22" s="42"/>
      <c r="I22" s="42"/>
      <c r="J22" s="37">
        <f t="shared" si="1"/>
        <v>0</v>
      </c>
      <c r="K22" s="38">
        <f t="shared" si="3"/>
        <v>45</v>
      </c>
      <c r="L22" s="39">
        <v>19.0</v>
      </c>
      <c r="M22" s="42"/>
      <c r="N22" s="38">
        <v>15.0</v>
      </c>
      <c r="O22" s="32"/>
      <c r="P22" s="42"/>
      <c r="Q22" s="42"/>
      <c r="R22" s="42"/>
      <c r="S22" s="37">
        <v>10.0</v>
      </c>
      <c r="T22" s="37">
        <f t="shared" si="2"/>
        <v>25</v>
      </c>
      <c r="U22" s="38">
        <f t="shared" si="4"/>
        <v>310</v>
      </c>
      <c r="V22" s="57" t="b">
        <f>EQ(UPPER(M2), LEFT(UPPER(V19), LEN(M2)))</f>
        <v>0</v>
      </c>
      <c r="W22" s="57" t="b">
        <f>EQ(UPPER(M2), LEFT(UPPER(W19), LEN(M2)))</f>
        <v>0</v>
      </c>
      <c r="X22" s="40" t="b">
        <f>EQ(UPPER(M2), LEFT(UPPER(X19), LEN(M2)))</f>
        <v>0</v>
      </c>
      <c r="Y22" s="57" t="b">
        <f>EQ(UPPER(M2), LEFT(UPPER(Y19), LEN(M2)))</f>
        <v>0</v>
      </c>
      <c r="Z22" s="46"/>
      <c r="AA22" s="46"/>
    </row>
    <row r="23">
      <c r="C23" s="58"/>
      <c r="D23" s="59"/>
      <c r="E23" s="60"/>
      <c r="F23" s="59"/>
      <c r="G23" s="60"/>
      <c r="H23" s="59"/>
      <c r="I23" s="62"/>
      <c r="J23" s="63">
        <f t="shared" si="1"/>
        <v>0</v>
      </c>
      <c r="K23" s="64">
        <f t="shared" si="3"/>
        <v>45</v>
      </c>
      <c r="L23" s="65">
        <v>20.0</v>
      </c>
      <c r="M23" s="30"/>
      <c r="N23" s="59"/>
      <c r="O23" s="66"/>
      <c r="P23" s="59"/>
      <c r="Q23" s="66"/>
      <c r="R23" s="59"/>
      <c r="S23" s="118"/>
      <c r="T23" s="63">
        <f t="shared" si="2"/>
        <v>0</v>
      </c>
      <c r="U23" s="64">
        <f t="shared" si="4"/>
        <v>310</v>
      </c>
      <c r="V23" s="57" t="b">
        <f>IFERROR(__xludf.DUMMYFUNCTION("IFERROR(OR(REGEXEXTRACT(V19, ""[0-9]+ :|[0-9]+:""), True), False)"),FALSE)</f>
        <v>0</v>
      </c>
      <c r="W23" s="57" t="b">
        <f>IFERROR(__xludf.DUMMYFUNCTION("IFERROR(OR(REGEXEXTRACT(W19, ""[0-9]+ :|[0-9]+:""), True), False)"),FALSE)</f>
        <v>0</v>
      </c>
      <c r="X23" s="57" t="b">
        <f>IFERROR(__xludf.DUMMYFUNCTION("IFERROR(OR(REGEXEXTRACT(X19, ""[0-9]+ :|[0-9]+:""), True), False)"),FALSE)</f>
        <v>0</v>
      </c>
      <c r="Y23" s="57" t="b">
        <f>IFERROR(__xludf.DUMMYFUNCTION("IFERROR(OR(REGEXEXTRACT(Y19, ""[0-9]+ :|[0-9]+:""), True), False)"),FALSE)</f>
        <v>0</v>
      </c>
      <c r="Z23" s="46"/>
      <c r="AA23" s="46"/>
    </row>
    <row r="24">
      <c r="C24" s="67"/>
      <c r="D24" s="59"/>
      <c r="E24" s="60"/>
      <c r="F24" s="61"/>
      <c r="G24" s="60"/>
      <c r="H24" s="59"/>
      <c r="I24" s="62" t="s">
        <v>59</v>
      </c>
      <c r="J24" s="63">
        <f t="shared" ref="J24:J27" si="8">IF(COUNTA(C24:H24)&lt;=1, IF(AND(OR(C24&lt;0, D24&lt;0, E24&lt;0, F24&lt;0, G24&lt;0, H24&lt;0), I24&gt;0), "BON.ERR", SUM(C24:H24)), "NEG.ERR")</f>
        <v>0</v>
      </c>
      <c r="K24" s="64">
        <f t="shared" si="3"/>
        <v>45</v>
      </c>
      <c r="L24" s="68" t="s">
        <v>60</v>
      </c>
      <c r="M24" s="66"/>
      <c r="N24" s="59"/>
      <c r="O24" s="66"/>
      <c r="P24" s="59"/>
      <c r="Q24" s="66"/>
      <c r="R24" s="59"/>
      <c r="S24" s="62" t="s">
        <v>59</v>
      </c>
      <c r="T24" s="63">
        <f t="shared" ref="T24:T27" si="9">IF(COUNTA(M24:R24)&lt;=1, IF(AND(OR(M24&lt;0, N24&lt;0, O24&lt;0, P24&lt;0, Q24&lt;0, R24&lt;0), S24&gt;0), "BON.ERR", SUM(M24:R24)), "NEG.ERR")</f>
        <v>0</v>
      </c>
      <c r="U24" s="64">
        <f t="shared" si="4"/>
        <v>310</v>
      </c>
      <c r="V24" s="57" t="b">
        <f t="shared" ref="V24:W24" si="7">IFERROR(IF(V21, AND(FIND(UPPER(C3), UPPER(V19)) &gt; 0, NOT(EQ(C3,""))), AND(FIND(UPPER(M3), UPPER(V19)) &gt; 0, NOT(EQ(M3,"")))), FALSE)</f>
        <v>0</v>
      </c>
      <c r="W24" s="57" t="b">
        <f t="shared" si="7"/>
        <v>0</v>
      </c>
      <c r="X24" s="57" t="b">
        <f>IFERROR(IF(X21, AND(FIND(UPPER(C3), UPPER(X19)) &gt; 0, NOT(EQ(C3,""))), AND(FIND(UPPER(M3), UPPER(X19)) &gt; 0, NOT(EQ(M3,"")))), FALSE)</f>
        <v>0</v>
      </c>
      <c r="Y24" s="57" t="b">
        <f>IFERROR(IF(Y21, AND(FIND(UPPER(C3), UPPER(Y19)) &gt; 0, NOT(EQ(C3,""))), AND(FIND(UPPER(M3), UPPER(Y19)) &gt; 0, NOT(EQ(M3,"")))), FALSE)</f>
        <v>0</v>
      </c>
      <c r="Z24" s="46"/>
      <c r="AA24" s="46"/>
    </row>
    <row r="25">
      <c r="C25" s="67"/>
      <c r="D25" s="61"/>
      <c r="E25" s="60"/>
      <c r="F25" s="59"/>
      <c r="G25" s="60"/>
      <c r="H25" s="59"/>
      <c r="I25" s="62" t="s">
        <v>59</v>
      </c>
      <c r="J25" s="63">
        <f t="shared" si="8"/>
        <v>0</v>
      </c>
      <c r="K25" s="64">
        <f t="shared" si="3"/>
        <v>45</v>
      </c>
      <c r="L25" s="25"/>
      <c r="M25" s="66"/>
      <c r="N25" s="59"/>
      <c r="O25" s="66"/>
      <c r="P25" s="59"/>
      <c r="Q25" s="66"/>
      <c r="R25" s="59"/>
      <c r="S25" s="62" t="s">
        <v>59</v>
      </c>
      <c r="T25" s="63">
        <f t="shared" si="9"/>
        <v>0</v>
      </c>
      <c r="U25" s="64">
        <f t="shared" si="4"/>
        <v>310</v>
      </c>
      <c r="V25" s="57" t="b">
        <f t="shared" ref="V25:W25" si="10">IFERROR(IF(V21, AND(FIND(UPPER(D3), UPPER(V19)) &gt; 0, NOT(EQ(D3,""))), AND(FIND(UPPER(N3), UPPER(V19)) &gt; 0, NOT(EQ(N3,"")))), FALSE)</f>
        <v>0</v>
      </c>
      <c r="W25" s="57" t="b">
        <f t="shared" si="10"/>
        <v>0</v>
      </c>
      <c r="X25" s="57" t="b">
        <f>IFERROR(IF(X21, AND(FIND(UPPER(D3), UPPER(X19)) &gt; 0, NOT(EQ(D3,""))), AND(FIND(UPPER(N3), UPPER(X19)) &gt; 0, NOT(EQ(N3,"")))), FALSE)</f>
        <v>0</v>
      </c>
      <c r="Y25" s="57" t="b">
        <f>IFERROR(IF(Y21, AND(FIND(UPPER(D3), UPPER(Y19)) &gt; 0, NOT(EQ(D3,""))), AND(FIND(UPPER(N3), UPPER(Y19)) &gt; 0, NOT(EQ(N3,"")))), FALSE)</f>
        <v>0</v>
      </c>
      <c r="Z25" s="46"/>
      <c r="AA25" s="46"/>
    </row>
    <row r="26">
      <c r="C26" s="67"/>
      <c r="D26" s="59"/>
      <c r="E26" s="60"/>
      <c r="F26" s="59"/>
      <c r="G26" s="60"/>
      <c r="H26" s="59"/>
      <c r="I26" s="62" t="s">
        <v>59</v>
      </c>
      <c r="J26" s="63">
        <f t="shared" si="8"/>
        <v>0</v>
      </c>
      <c r="K26" s="64">
        <f t="shared" si="3"/>
        <v>45</v>
      </c>
      <c r="L26" s="25"/>
      <c r="M26" s="66"/>
      <c r="N26" s="59"/>
      <c r="O26" s="66"/>
      <c r="P26" s="59"/>
      <c r="Q26" s="66"/>
      <c r="R26" s="59"/>
      <c r="S26" s="62" t="s">
        <v>59</v>
      </c>
      <c r="T26" s="63">
        <f t="shared" si="9"/>
        <v>0</v>
      </c>
      <c r="U26" s="64">
        <f t="shared" si="4"/>
        <v>310</v>
      </c>
      <c r="V26" s="57" t="b">
        <f t="shared" ref="V26:W26" si="11">IFERROR(IF(V21, AND(FIND(UPPER(E3), UPPER(V19)) &gt; 0, NOT(EQ(E3,""))), AND(FIND(UPPER(O3), UPPER(V19)) &gt; 0, NOT(EQ(O3,"")))), FALSE)</f>
        <v>0</v>
      </c>
      <c r="W26" s="57" t="b">
        <f t="shared" si="11"/>
        <v>0</v>
      </c>
      <c r="X26" s="57" t="b">
        <f>IFERROR(IF(X21, AND(FIND(UPPER(E3), UPPER(X19)) &gt; 0, NOT(EQ(E3,""))), AND(FIND(UPPER(O3), UPPER(X19)) &gt; 0, NOT(EQ(O3,"")))), FALSE)</f>
        <v>0</v>
      </c>
      <c r="Y26" s="57" t="b">
        <f>IFERROR(IF(Y21, AND(FIND(UPPER(E3), UPPER(Y19)) &gt; 0, NOT(EQ(E3,""))), AND(FIND(UPPER(O3), UPPER(Y19)) &gt; 0, NOT(EQ(O3,"")))), FALSE)</f>
        <v>0</v>
      </c>
      <c r="Z26" s="46"/>
      <c r="AA26" s="46"/>
    </row>
    <row r="27">
      <c r="C27" s="67"/>
      <c r="D27" s="59"/>
      <c r="E27" s="60"/>
      <c r="F27" s="59"/>
      <c r="G27" s="60"/>
      <c r="H27" s="59"/>
      <c r="I27" s="62" t="s">
        <v>59</v>
      </c>
      <c r="J27" s="63">
        <f t="shared" si="8"/>
        <v>0</v>
      </c>
      <c r="K27" s="64">
        <f t="shared" si="3"/>
        <v>45</v>
      </c>
      <c r="L27" s="69"/>
      <c r="M27" s="66"/>
      <c r="N27" s="59"/>
      <c r="O27" s="66"/>
      <c r="P27" s="59"/>
      <c r="Q27" s="66"/>
      <c r="R27" s="59"/>
      <c r="S27" s="62" t="s">
        <v>59</v>
      </c>
      <c r="T27" s="63">
        <f t="shared" si="9"/>
        <v>0</v>
      </c>
      <c r="U27" s="64">
        <f t="shared" si="4"/>
        <v>310</v>
      </c>
      <c r="V27" s="57" t="b">
        <f t="shared" ref="V27:W27" si="12">IFERROR(IF(V21, AND(FIND(UPPER(F3), UPPER(V19)) &gt; 0, NOT(EQ(F3,""))), AND(FIND(UPPER(P3), UPPER(V19)) &gt; 0, NOT(EQ(P3,"")))), FALSE)</f>
        <v>0</v>
      </c>
      <c r="W27" s="57" t="b">
        <f t="shared" si="12"/>
        <v>0</v>
      </c>
      <c r="X27" s="57" t="b">
        <f>IFERROR(IF(X21, AND(FIND(UPPER(F3), UPPER(X19)) &gt; 0, NOT(EQ(F3,""))), AND(FIND(UPPER(P3), UPPER(X19)) &gt; 0, NOT(EQ(P3,"")))), FALSE)</f>
        <v>0</v>
      </c>
      <c r="Y27" s="57" t="b">
        <f>IFERROR(IF(Y21, AND(FIND(UPPER(F3), UPPER(Y19)) &gt; 0, NOT(EQ(F3,""))), AND(FIND(UPPER(P3), UPPER(Y19)) &gt; 0, NOT(EQ(P3,"")))), FALSE)</f>
        <v>0</v>
      </c>
      <c r="Z27" s="46"/>
      <c r="AA27" s="46"/>
    </row>
    <row r="28">
      <c r="B28" s="70">
        <v>15.0</v>
      </c>
      <c r="C28" s="71">
        <f t="shared" ref="C28:H28" si="13">COUNTIF(C4:C27, "=15")</f>
        <v>0</v>
      </c>
      <c r="D28" s="72">
        <f t="shared" si="13"/>
        <v>0</v>
      </c>
      <c r="E28" s="71">
        <f t="shared" si="13"/>
        <v>0</v>
      </c>
      <c r="F28" s="72">
        <f t="shared" si="13"/>
        <v>0</v>
      </c>
      <c r="G28" s="71">
        <f t="shared" si="13"/>
        <v>0</v>
      </c>
      <c r="H28" s="72">
        <f t="shared" si="13"/>
        <v>0</v>
      </c>
      <c r="I28" s="73" t="s">
        <v>61</v>
      </c>
      <c r="J28" s="74"/>
      <c r="K28" s="75" t="s">
        <v>62</v>
      </c>
      <c r="L28" s="76">
        <v>15.0</v>
      </c>
      <c r="M28" s="77">
        <f t="shared" ref="M28:R28" si="14">COUNTIF(M4:M27, "=15")</f>
        <v>2</v>
      </c>
      <c r="N28" s="78">
        <f t="shared" si="14"/>
        <v>1</v>
      </c>
      <c r="O28" s="77">
        <f t="shared" si="14"/>
        <v>0</v>
      </c>
      <c r="P28" s="78">
        <f t="shared" si="14"/>
        <v>0</v>
      </c>
      <c r="Q28" s="77">
        <f t="shared" si="14"/>
        <v>0</v>
      </c>
      <c r="R28" s="78">
        <f t="shared" si="14"/>
        <v>0</v>
      </c>
      <c r="S28" s="79" t="s">
        <v>61</v>
      </c>
      <c r="T28" s="74"/>
      <c r="U28" s="80" t="s">
        <v>62</v>
      </c>
      <c r="V28" s="57" t="b">
        <f t="shared" ref="V28:W28" si="15">IFERROR(IF(V21, AND(FIND(UPPER(G3), UPPER(V19)) &gt; 0, NOT(EQ(G3,""))), AND(FIND(UPPER(Q3), UPPER(V19)) &gt; 0, NOT(EQ(Q3,"")))), FALSE)</f>
        <v>0</v>
      </c>
      <c r="W28" s="57" t="b">
        <f t="shared" si="15"/>
        <v>0</v>
      </c>
      <c r="X28" s="57" t="b">
        <f>IFERROR(IF(X21, AND(FIND(UPPER(G3), UPPER(X19)) &gt; 0, NOT(EQ(G3,""))), AND(FIND(UPPER(Q3), UPPER(X19)) &gt; 0, NOT(EQ(Q3,"")))), FALSE)</f>
        <v>0</v>
      </c>
      <c r="Y28" s="57" t="b">
        <f>IFERROR(IF(Y21, AND(FIND(UPPER(G3), UPPER(Y19)) &gt; 0, NOT(EQ(G3,""))), AND(FIND(UPPER(Q3), UPPER(Y19)) &gt; 0, NOT(EQ(Q3,"")))), FALSE)</f>
        <v>0</v>
      </c>
      <c r="Z28" s="46"/>
      <c r="AA28" s="46"/>
    </row>
    <row r="29">
      <c r="B29" s="81">
        <v>10.0</v>
      </c>
      <c r="C29" s="82">
        <f t="shared" ref="C29:H29" si="16">COUNTIF(C4:C27, "=10")</f>
        <v>0</v>
      </c>
      <c r="D29" s="83">
        <f t="shared" si="16"/>
        <v>2</v>
      </c>
      <c r="E29" s="82">
        <f t="shared" si="16"/>
        <v>0</v>
      </c>
      <c r="F29" s="83">
        <f t="shared" si="16"/>
        <v>0</v>
      </c>
      <c r="G29" s="82">
        <f t="shared" si="16"/>
        <v>0</v>
      </c>
      <c r="H29" s="83">
        <f t="shared" si="16"/>
        <v>0</v>
      </c>
      <c r="I29" s="84"/>
      <c r="J29" s="25"/>
      <c r="K29" s="85"/>
      <c r="L29" s="86">
        <v>10.0</v>
      </c>
      <c r="M29" s="87">
        <f t="shared" ref="M29:R29" si="17">COUNTIF(M4:M27, "=10")</f>
        <v>5</v>
      </c>
      <c r="N29" s="88">
        <f t="shared" si="17"/>
        <v>0</v>
      </c>
      <c r="O29" s="87">
        <f t="shared" si="17"/>
        <v>4</v>
      </c>
      <c r="P29" s="88">
        <f t="shared" si="17"/>
        <v>1</v>
      </c>
      <c r="Q29" s="87">
        <f t="shared" si="17"/>
        <v>0</v>
      </c>
      <c r="R29" s="88">
        <f t="shared" si="17"/>
        <v>0</v>
      </c>
      <c r="S29" s="84"/>
      <c r="T29" s="25"/>
      <c r="U29" s="85"/>
      <c r="V29" s="57" t="b">
        <f>IFERROR(IF(V21, AND(FIND(UPPER(H3), UPPER(V19)) &gt; 0, NOT(EQ(H3,""))), AND(FIND(UPPER(R3), UPPER(V19)) &gt; 0, NOT(EQ(R3,"")))), FALSE)</f>
        <v>0</v>
      </c>
      <c r="W29" s="57" t="b">
        <f>IFERROR(IF(W21, AND(FIND(UPPER(C3), UPPER(W19)) &gt; 0, NOT(EQ(C3,""))), AND(FIND(UPPER(M3), UPPER(W19)) &gt; 0, NOT(EQ(M3,"")))), FALSE)</f>
        <v>0</v>
      </c>
      <c r="X29" s="57" t="b">
        <f>IFERROR(IF(X21, AND(FIND(UPPER(H3), UPPER(X19)) &gt; 0, NOT(EQ(H3,""))), AND(FIND(UPPER(R3), UPPER(X19)) &gt; 0, NOT(EQ(R3,"")))), FALSE)</f>
        <v>0</v>
      </c>
      <c r="Y29" s="57" t="b">
        <f>IFERROR(IF(Y21, AND(FIND(UPPER(H3), UPPER(Y19)) &gt; 0, NOT(EQ(H3,""))), AND(FIND(UPPER(R3), UPPER(Y19)) &gt; 0, NOT(EQ(R3,"")))), FALSE)</f>
        <v>0</v>
      </c>
      <c r="Z29" s="46"/>
      <c r="AA29" s="46"/>
    </row>
    <row r="30">
      <c r="B30" s="81">
        <v>-5.0</v>
      </c>
      <c r="C30" s="89">
        <f t="shared" ref="C30:H30" si="18">COUNTIF(C4:C27, "=-5")</f>
        <v>0</v>
      </c>
      <c r="D30" s="90">
        <f t="shared" si="18"/>
        <v>1</v>
      </c>
      <c r="E30" s="89">
        <f t="shared" si="18"/>
        <v>0</v>
      </c>
      <c r="F30" s="90">
        <f t="shared" si="18"/>
        <v>0</v>
      </c>
      <c r="G30" s="89">
        <f t="shared" si="18"/>
        <v>0</v>
      </c>
      <c r="H30" s="90">
        <f t="shared" si="18"/>
        <v>0</v>
      </c>
      <c r="I30" s="91">
        <f>sum(I4:I23)</f>
        <v>30</v>
      </c>
      <c r="J30" s="25"/>
      <c r="K30" s="92">
        <f>IFERROR(I30/SUM(C28:G29), 0)</f>
        <v>15</v>
      </c>
      <c r="L30" s="86">
        <v>-5.0</v>
      </c>
      <c r="M30" s="93">
        <f t="shared" ref="M30:R30" si="19">COUNTIF(M4:M27, "=-5")</f>
        <v>1</v>
      </c>
      <c r="N30" s="94">
        <f t="shared" si="19"/>
        <v>0</v>
      </c>
      <c r="O30" s="93">
        <f t="shared" si="19"/>
        <v>0</v>
      </c>
      <c r="P30" s="94">
        <f t="shared" si="19"/>
        <v>0</v>
      </c>
      <c r="Q30" s="93">
        <f t="shared" si="19"/>
        <v>0</v>
      </c>
      <c r="R30" s="94">
        <f t="shared" si="19"/>
        <v>0</v>
      </c>
      <c r="S30" s="95">
        <f>sum(S4:S23)</f>
        <v>170</v>
      </c>
      <c r="T30" s="25"/>
      <c r="U30" s="96">
        <f>IFERROR(S30/SUM(M28:Q29), 0)</f>
        <v>13.07692308</v>
      </c>
      <c r="V30" s="57" t="b">
        <f t="shared" ref="V30:W30" si="20">AND(IF(AND(COUNTIF(V24:V29, TRUE)=2, IFERROR(FIND("-", V19) &gt; 0, TRUE)), TRUE, IF(AND(COUNTIF(V24:V29, TRUE)=1, IFERROR(FIND("-", V19) &gt; 0, FALSE)), TRUE, FALSE)),V23)</f>
        <v>0</v>
      </c>
      <c r="W30" s="57" t="b">
        <f t="shared" si="20"/>
        <v>0</v>
      </c>
      <c r="X30" s="57" t="b">
        <f>AND(IF(AND(COUNTIF(X24:X29, TRUE)= 2, IFERROR(FIND("-", X19) &gt; 0, TRUE)), TRUE, IF(AND(COUNTIF(X24:X29,TRUE)=1, IFERROR(FIND("-", X19) &gt; 0, FALSE)), TRUE, FALSE)),X23)</f>
        <v>0</v>
      </c>
      <c r="Y30" s="57" t="b">
        <f>AND(IF(AND(COUNTIF(Y24:Y29, TRUE)=2, IFERROR(FIND("-", Y19) &gt; 0, TRUE)), TRUE, IF(AND(COUNTIF(Y24:Y29, TRUE)=1, IFERROR(FIND("-", Y19) &gt; 0, FALSE)), TRUE, FALSE)),Y23)</f>
        <v>0</v>
      </c>
      <c r="Z30" s="46"/>
      <c r="AA30" s="46"/>
    </row>
    <row r="31">
      <c r="B31" s="97" t="s">
        <v>63</v>
      </c>
      <c r="C31" s="98">
        <f t="shared" ref="C31:H31" si="21">(C28*15)+(C29*10)+(C30*-5)</f>
        <v>0</v>
      </c>
      <c r="D31" s="99">
        <f t="shared" si="21"/>
        <v>15</v>
      </c>
      <c r="E31" s="98">
        <f t="shared" si="21"/>
        <v>0</v>
      </c>
      <c r="F31" s="99">
        <f t="shared" si="21"/>
        <v>0</v>
      </c>
      <c r="G31" s="98">
        <f t="shared" si="21"/>
        <v>0</v>
      </c>
      <c r="H31" s="99">
        <f t="shared" si="21"/>
        <v>0</v>
      </c>
      <c r="I31" s="100"/>
      <c r="J31" s="69"/>
      <c r="K31" s="101"/>
      <c r="L31" s="102" t="s">
        <v>63</v>
      </c>
      <c r="M31" s="103">
        <f t="shared" ref="M31:R31" si="22">(M28*15)+(M29*10)+(M30*-5)</f>
        <v>75</v>
      </c>
      <c r="N31" s="99">
        <f t="shared" si="22"/>
        <v>15</v>
      </c>
      <c r="O31" s="103">
        <f t="shared" si="22"/>
        <v>40</v>
      </c>
      <c r="P31" s="99">
        <f t="shared" si="22"/>
        <v>10</v>
      </c>
      <c r="Q31" s="103">
        <f t="shared" si="22"/>
        <v>0</v>
      </c>
      <c r="R31" s="99">
        <f t="shared" si="22"/>
        <v>0</v>
      </c>
      <c r="S31" s="100"/>
      <c r="T31" s="69"/>
      <c r="U31" s="101"/>
      <c r="V31" s="40" t="b">
        <f t="shared" ref="V31:Y31" si="23">OR(AND(V30, OR(V21,V22)),V20)</f>
        <v>1</v>
      </c>
      <c r="W31" s="40" t="b">
        <f t="shared" si="23"/>
        <v>1</v>
      </c>
      <c r="X31" s="40" t="b">
        <f t="shared" si="23"/>
        <v>1</v>
      </c>
      <c r="Y31" s="40" t="b">
        <f t="shared" si="23"/>
        <v>1</v>
      </c>
      <c r="Z31" s="46"/>
      <c r="AA31" s="46"/>
    </row>
    <row r="32">
      <c r="B32" s="104">
        <f>K27</f>
        <v>45</v>
      </c>
      <c r="I32" s="25"/>
      <c r="J32" s="105" t="s">
        <v>64</v>
      </c>
      <c r="K32" s="106"/>
      <c r="L32" s="106"/>
      <c r="M32" s="74"/>
      <c r="N32" s="107">
        <f>U27</f>
        <v>310</v>
      </c>
      <c r="O32" s="106"/>
      <c r="P32" s="106"/>
      <c r="Q32" s="106"/>
      <c r="R32" s="106"/>
      <c r="S32" s="106"/>
      <c r="T32" s="106"/>
      <c r="U32" s="74"/>
      <c r="V32" s="40" t="b">
        <f>AND(V31:Y31)</f>
        <v>1</v>
      </c>
      <c r="W32" s="40"/>
      <c r="X32" s="40"/>
      <c r="Y32" s="40"/>
      <c r="Z32" s="46"/>
      <c r="AA32" s="46"/>
    </row>
    <row r="33">
      <c r="B33" s="84"/>
      <c r="I33" s="25"/>
      <c r="J33" s="84"/>
      <c r="M33" s="25"/>
      <c r="N33" s="84"/>
      <c r="U33" s="25"/>
      <c r="V33" s="40"/>
      <c r="W33" s="40"/>
      <c r="X33" s="40"/>
      <c r="Y33" s="40"/>
      <c r="Z33" s="46"/>
      <c r="AA33" s="46"/>
    </row>
    <row r="34">
      <c r="B34" s="100"/>
      <c r="C34" s="109"/>
      <c r="D34" s="109"/>
      <c r="E34" s="109"/>
      <c r="F34" s="109"/>
      <c r="G34" s="109"/>
      <c r="H34" s="109"/>
      <c r="I34" s="69"/>
      <c r="J34" s="100"/>
      <c r="K34" s="109"/>
      <c r="L34" s="109"/>
      <c r="M34" s="69"/>
      <c r="N34" s="100"/>
      <c r="O34" s="109"/>
      <c r="P34" s="109"/>
      <c r="Q34" s="109"/>
      <c r="R34" s="109"/>
      <c r="S34" s="109"/>
      <c r="T34" s="109"/>
      <c r="U34" s="69"/>
      <c r="V34" s="46"/>
      <c r="W34" s="46"/>
      <c r="X34" s="46"/>
      <c r="Y34" s="46"/>
      <c r="Z34" s="46"/>
      <c r="AA34" s="46"/>
    </row>
    <row r="35">
      <c r="V35" s="46"/>
      <c r="W35" s="46"/>
      <c r="X35" s="46"/>
      <c r="Y35" s="46"/>
      <c r="Z35" s="46"/>
      <c r="AA35" s="40"/>
    </row>
    <row r="36">
      <c r="V36" s="46"/>
      <c r="W36" s="46"/>
      <c r="X36" s="46"/>
      <c r="Y36" s="46"/>
      <c r="Z36" s="46"/>
      <c r="AA36" s="40"/>
    </row>
    <row r="37">
      <c r="C37" s="156"/>
      <c r="V37" s="46"/>
      <c r="W37" s="46"/>
      <c r="X37" s="46"/>
      <c r="Y37" s="46"/>
      <c r="Z37" s="46"/>
      <c r="AA37" s="40"/>
    </row>
    <row r="38">
      <c r="C38" s="111"/>
      <c r="V38" s="46"/>
      <c r="W38" s="46"/>
      <c r="X38" s="46"/>
      <c r="Y38" s="46"/>
      <c r="Z38" s="46"/>
      <c r="AA38" s="40"/>
    </row>
    <row r="39">
      <c r="V39" s="46"/>
      <c r="W39" s="46"/>
      <c r="X39" s="46"/>
      <c r="Y39" s="46"/>
      <c r="Z39" s="46"/>
      <c r="AA39" s="40"/>
    </row>
    <row r="40">
      <c r="V40" s="46"/>
      <c r="W40" s="46"/>
      <c r="X40" s="46"/>
      <c r="Y40" s="112"/>
      <c r="Z40" s="112"/>
      <c r="AA40" s="40"/>
    </row>
    <row r="41">
      <c r="V41" s="46"/>
      <c r="W41" s="46"/>
      <c r="X41" s="46"/>
      <c r="Y41" s="46"/>
      <c r="Z41" s="46"/>
      <c r="AA41" s="40"/>
    </row>
    <row r="42">
      <c r="V42" s="46"/>
      <c r="W42" s="46"/>
      <c r="X42" s="46"/>
      <c r="Y42" s="46"/>
      <c r="Z42" s="46"/>
      <c r="AA42" s="40"/>
    </row>
    <row r="43">
      <c r="V43" s="46"/>
      <c r="W43" s="46"/>
      <c r="X43" s="46"/>
      <c r="Y43" s="46"/>
      <c r="Z43" s="46"/>
      <c r="AA43" s="40"/>
    </row>
    <row r="44">
      <c r="C44" s="113"/>
      <c r="F44" s="113"/>
      <c r="G44" s="113"/>
      <c r="V44" s="114"/>
      <c r="W44" s="46"/>
      <c r="X44" s="46"/>
      <c r="Y44" s="46"/>
      <c r="Z44" s="46"/>
      <c r="AA44" s="40"/>
    </row>
    <row r="45">
      <c r="C45" s="113"/>
      <c r="F45" s="113"/>
      <c r="G45" s="113"/>
      <c r="V45" s="40"/>
      <c r="W45" s="40"/>
      <c r="X45" s="40"/>
      <c r="Y45" s="40"/>
      <c r="Z45" s="40"/>
      <c r="AA45" s="40"/>
    </row>
    <row r="46">
      <c r="C46" s="115" t="s">
        <v>66</v>
      </c>
      <c r="F46" s="113"/>
      <c r="G46" s="113"/>
      <c r="V46" s="40"/>
      <c r="W46" s="40"/>
      <c r="X46" s="40"/>
      <c r="Y46" s="40"/>
      <c r="Z46" s="40"/>
      <c r="AA46" s="40"/>
    </row>
    <row r="47">
      <c r="C47" s="116"/>
      <c r="V47" s="40"/>
      <c r="W47" s="40"/>
      <c r="X47" s="40"/>
      <c r="Y47" s="40"/>
      <c r="Z47" s="40"/>
      <c r="AA47" s="40"/>
    </row>
    <row r="48">
      <c r="V48" s="40"/>
      <c r="W48" s="40"/>
      <c r="X48" s="40"/>
      <c r="Y48" s="40"/>
      <c r="Z48" s="40"/>
      <c r="AA48" s="40"/>
    </row>
    <row r="49">
      <c r="V49" s="40"/>
      <c r="W49" s="40"/>
      <c r="X49" s="40"/>
      <c r="Y49" s="40"/>
      <c r="Z49" s="40"/>
      <c r="AA49" s="40"/>
    </row>
    <row r="50">
      <c r="V50" s="40"/>
      <c r="W50" s="40"/>
      <c r="X50" s="40"/>
      <c r="Y50" s="40"/>
      <c r="Z50" s="40"/>
      <c r="AA50" s="40"/>
    </row>
    <row r="51">
      <c r="V51" s="40"/>
      <c r="W51" s="40"/>
      <c r="X51" s="40"/>
      <c r="Y51" s="40"/>
      <c r="Z51" s="40"/>
      <c r="AA51" s="40"/>
    </row>
    <row r="52">
      <c r="V52" s="40"/>
      <c r="W52" s="40"/>
      <c r="X52" s="40"/>
      <c r="Y52" s="40"/>
      <c r="Z52" s="40"/>
      <c r="AA52" s="40"/>
    </row>
    <row r="53">
      <c r="C53" s="113"/>
      <c r="F53" s="113"/>
      <c r="G53" s="113"/>
      <c r="V53" s="40"/>
      <c r="W53" s="40"/>
      <c r="X53" s="40"/>
      <c r="Y53" s="40"/>
      <c r="Z53" s="40"/>
      <c r="AA53" s="40"/>
    </row>
    <row r="54">
      <c r="C54" s="113"/>
      <c r="F54" s="113"/>
      <c r="G54" s="113"/>
      <c r="V54" s="40"/>
      <c r="W54" s="40"/>
      <c r="X54" s="40"/>
      <c r="Y54" s="40"/>
      <c r="Z54" s="40"/>
      <c r="AA54" s="40"/>
    </row>
  </sheetData>
  <mergeCells count="18">
    <mergeCell ref="I30:J31"/>
    <mergeCell ref="B32:I34"/>
    <mergeCell ref="C38:T43"/>
    <mergeCell ref="C47:T52"/>
    <mergeCell ref="J32:M34"/>
    <mergeCell ref="N32:U34"/>
    <mergeCell ref="U30:U31"/>
    <mergeCell ref="S30:T31"/>
    <mergeCell ref="K28:K29"/>
    <mergeCell ref="S28:T29"/>
    <mergeCell ref="K30:K31"/>
    <mergeCell ref="G1:Q1"/>
    <mergeCell ref="C2:K2"/>
    <mergeCell ref="L2:L3"/>
    <mergeCell ref="M2:U2"/>
    <mergeCell ref="L24:L27"/>
    <mergeCell ref="I28:J29"/>
    <mergeCell ref="U28:U29"/>
  </mergeCells>
  <conditionalFormatting sqref="C4:U23">
    <cfRule type="expression" dxfId="0" priority="1">
      <formula>$I:$I&lt;&gt;""</formula>
    </cfRule>
  </conditionalFormatting>
  <conditionalFormatting sqref="C4:U23">
    <cfRule type="expression" dxfId="0" priority="2">
      <formula>$S:$S&lt;&gt;""</formula>
    </cfRule>
  </conditionalFormatting>
  <conditionalFormatting sqref="A1">
    <cfRule type="notContainsBlanks" dxfId="1" priority="3">
      <formula>LEN(TRIM(A1))&gt;0</formula>
    </cfRule>
  </conditionalFormatting>
  <conditionalFormatting sqref="X12">
    <cfRule type="notContainsBlanks" dxfId="1" priority="4">
      <formula>LEN(TRIM(X12))&gt;0</formula>
    </cfRule>
  </conditionalFormatting>
  <conditionalFormatting sqref="C38:T43">
    <cfRule type="expression" dxfId="2" priority="5">
      <formula>NOT(V32)</formula>
    </cfRule>
  </conditionalFormatting>
  <conditionalFormatting sqref="C37">
    <cfRule type="expression" dxfId="3" priority="6">
      <formula>NOT(V32)</formula>
    </cfRule>
  </conditionalFormatting>
  <dataValidations>
    <dataValidation type="list" allowBlank="1" showErrorMessage="1" sqref="M3:R3">
      <formula1>'ROUND 7'!$X$5:$X$11</formula1>
    </dataValidation>
    <dataValidation type="list" allowBlank="1" showErrorMessage="1" sqref="C3:H3">
      <formula1>'ROUND 7'!$W$5:$W$11</formula1>
    </dataValidation>
    <dataValidation type="list" allowBlank="1" showErrorMessage="1" sqref="I4:I23 S4:S23">
      <formula1>"0,10,20,30"</formula1>
    </dataValidation>
    <dataValidation type="list" allowBlank="1" showErrorMessage="1" sqref="C4:H27 M4:R27">
      <formula1>"-5,10,15"</formula1>
    </dataValidation>
    <dataValidation type="list" allowBlank="1" showErrorMessage="1" sqref="C2 M2">
      <formula1>INSTRUCTIONS!$A$28:$AJ$28</formula1>
    </dataValidation>
  </dataValidation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1" max="1" width="1.29"/>
    <col customWidth="1" min="2" max="2" width="5.0"/>
    <col customWidth="1" min="3" max="7" width="8.71"/>
    <col customWidth="1" min="8" max="8" width="8.43"/>
    <col customWidth="1" min="9" max="9" width="9.14"/>
    <col customWidth="1" min="10" max="10" width="8.29"/>
    <col customWidth="1" min="11" max="11" width="8.0"/>
    <col customWidth="1" min="12" max="12" width="8.86"/>
    <col customWidth="1" min="13" max="13" width="8.71"/>
    <col customWidth="1" min="14" max="14" width="8.43"/>
    <col customWidth="1" min="15" max="18" width="8.71"/>
    <col customWidth="1" min="19" max="19" width="8.86"/>
    <col customWidth="1" min="20" max="20" width="8.0"/>
    <col customWidth="1" min="21" max="21" width="8.43"/>
    <col customWidth="1" min="22" max="22" width="21.57"/>
  </cols>
  <sheetData>
    <row r="1" ht="18.75" customHeight="1">
      <c r="C1" s="2"/>
      <c r="D1" s="2"/>
      <c r="E1" s="2"/>
      <c r="F1" s="2"/>
      <c r="G1" s="5" t="s">
        <v>91</v>
      </c>
      <c r="R1" s="2"/>
      <c r="S1" s="2"/>
      <c r="T1" s="2"/>
      <c r="U1" s="2"/>
      <c r="V1" s="7"/>
      <c r="W1" s="7"/>
      <c r="X1" s="7"/>
      <c r="Y1" s="7"/>
      <c r="Z1" s="7"/>
    </row>
    <row r="2" ht="18.75" customHeight="1">
      <c r="C2" s="9" t="s">
        <v>49</v>
      </c>
      <c r="D2" s="11"/>
      <c r="E2" s="11"/>
      <c r="F2" s="11"/>
      <c r="G2" s="11"/>
      <c r="H2" s="11"/>
      <c r="I2" s="11"/>
      <c r="J2" s="11"/>
      <c r="K2" s="12"/>
      <c r="L2" s="15" t="s">
        <v>9</v>
      </c>
      <c r="M2" s="17" t="s">
        <v>72</v>
      </c>
      <c r="N2" s="11"/>
      <c r="O2" s="11"/>
      <c r="P2" s="11"/>
      <c r="Q2" s="11"/>
      <c r="R2" s="11"/>
      <c r="S2" s="11"/>
      <c r="T2" s="11"/>
      <c r="U2" s="12"/>
      <c r="V2" s="7"/>
      <c r="W2" s="7"/>
      <c r="X2" s="7"/>
      <c r="Y2" s="7"/>
      <c r="Z2" s="7"/>
    </row>
    <row r="3">
      <c r="C3" s="18" t="s">
        <v>51</v>
      </c>
      <c r="D3" s="20" t="s">
        <v>52</v>
      </c>
      <c r="E3" s="22" t="s">
        <v>53</v>
      </c>
      <c r="F3" s="20" t="s">
        <v>54</v>
      </c>
      <c r="G3" s="22"/>
      <c r="H3" s="20"/>
      <c r="I3" s="23" t="s">
        <v>24</v>
      </c>
      <c r="J3" s="24" t="s">
        <v>27</v>
      </c>
      <c r="K3" s="23" t="s">
        <v>29</v>
      </c>
      <c r="L3" s="25"/>
      <c r="M3" s="26" t="s">
        <v>77</v>
      </c>
      <c r="N3" s="28" t="s">
        <v>78</v>
      </c>
      <c r="O3" s="26" t="s">
        <v>79</v>
      </c>
      <c r="P3" s="28"/>
      <c r="Q3" s="26"/>
      <c r="R3" s="30"/>
      <c r="S3" s="23" t="s">
        <v>24</v>
      </c>
      <c r="T3" s="24" t="s">
        <v>27</v>
      </c>
      <c r="U3" s="23" t="s">
        <v>29</v>
      </c>
      <c r="V3" s="7"/>
      <c r="W3" s="7"/>
      <c r="X3" s="7"/>
      <c r="Y3" s="7"/>
      <c r="Z3" s="7"/>
    </row>
    <row r="4">
      <c r="C4" s="31"/>
      <c r="D4" s="32"/>
      <c r="E4" s="32"/>
      <c r="F4" s="32"/>
      <c r="G4" s="32"/>
      <c r="H4" s="32"/>
      <c r="I4" s="32"/>
      <c r="J4" s="37">
        <f t="shared" ref="J4:J23" si="1">IF(AND(COUNTA(C4:H4)=0,I4&gt;0), "BON.ERR", IF(COUNTA(C4:H4)&lt;=1, IF(AND(OR(C4&lt;0, D4&lt;0, E4&lt;0, F4&lt;0, G4&lt;0, H4&lt;0), I4&gt;0), "BON.ERR", SUM(C4:I4)), "TEAM.ERR"))</f>
        <v>0</v>
      </c>
      <c r="K4" s="38">
        <f>if(sum(sum(C4:H4), M4:R4)&lt;-6, "NEG.ERR", if(and(sum(C4:I4)&gt;0, sum(M4:S4)&gt;0), "ERROR", sum(J4)))</f>
        <v>0</v>
      </c>
      <c r="L4" s="39">
        <v>1.0</v>
      </c>
      <c r="M4" s="32"/>
      <c r="N4" s="37">
        <v>10.0</v>
      </c>
      <c r="O4" s="32"/>
      <c r="P4" s="32"/>
      <c r="Q4" s="32"/>
      <c r="R4" s="32"/>
      <c r="S4" s="37">
        <v>30.0</v>
      </c>
      <c r="T4" s="37">
        <f t="shared" ref="T4:T23" si="2">IF(AND(COUNTA(M4:R4)=0,S4&gt;0), "BON.ERR", IF(COUNTA(M4:R4)&lt;=1, IF(AND(OR(M4&lt;0, N4&lt;0, O4&lt;0, P4&lt;0, Q4&lt;0, R4&lt;0), S4&gt;0), "BON.ERR", SUM(M4:S4)), "TEAM.ERR"))</f>
        <v>40</v>
      </c>
      <c r="U4" s="38">
        <f>if(sum(sum(C4:H4), M4:R4)&lt;-6, "NEG.ERR", if(and(sum(C4:H4)&gt;0, sum(M4:R4)&gt;0), "ERROR", sum(T4)))</f>
        <v>40</v>
      </c>
      <c r="V4" s="40"/>
      <c r="W4" s="41" t="str">
        <f>IFERROR(__xludf.DUMMYFUNCTION("filter(INSTRUCTIONS!A28:AJ39, INSTRUCTIONS!A28:AJ28=C2)"),"CENTENNIAL A")</f>
        <v>CENTENNIAL A</v>
      </c>
      <c r="X4" s="41" t="str">
        <f>IFERROR(__xludf.DUMMYFUNCTION("filter(INSTRUCTIONS!A28:AJ39, INSTRUCTIONS!A28:AJ28=M2)"),"RICHARD MONTGOMERY A")</f>
        <v>RICHARD MONTGOMERY A</v>
      </c>
      <c r="Y4" s="41"/>
      <c r="Z4" s="40"/>
      <c r="AA4" s="40"/>
    </row>
    <row r="5">
      <c r="C5" s="31"/>
      <c r="D5" s="32"/>
      <c r="E5" s="32"/>
      <c r="F5" s="32"/>
      <c r="G5" s="32"/>
      <c r="H5" s="32"/>
      <c r="I5" s="32"/>
      <c r="J5" s="37">
        <f t="shared" si="1"/>
        <v>0</v>
      </c>
      <c r="K5" s="38">
        <f t="shared" ref="K5:K27" si="3">if(sum(sum(C5:H5), M5:R5)&lt;-6, "NEG.ERR", if(and(sum(C5:I5)&gt;0, sum(M5:S5)&gt;0), "ERROR", sum(J5,K4)))</f>
        <v>0</v>
      </c>
      <c r="L5" s="39">
        <v>2.0</v>
      </c>
      <c r="M5" s="32"/>
      <c r="N5" s="37">
        <v>10.0</v>
      </c>
      <c r="O5" s="32"/>
      <c r="P5" s="32"/>
      <c r="Q5" s="42"/>
      <c r="R5" s="42"/>
      <c r="S5" s="37">
        <v>10.0</v>
      </c>
      <c r="T5" s="37">
        <f t="shared" si="2"/>
        <v>20</v>
      </c>
      <c r="U5" s="38">
        <f t="shared" ref="U5:U27" si="4">if(sum(sum(C5:H5), M5:R5)&lt;-6, "NEG.ERR", if(and(sum(C5:H5)&gt;0, sum(M5:R5)&gt;0), "ERROR", sum(T5,U4)))</f>
        <v>60</v>
      </c>
      <c r="V5" s="40"/>
      <c r="W5" s="41" t="str">
        <f>IFERROR(__xludf.DUMMYFUNCTION("""COMPUTED_VALUE"""),"Nathan Ho")</f>
        <v>Nathan Ho</v>
      </c>
      <c r="X5" s="41" t="str">
        <f>IFERROR(__xludf.DUMMYFUNCTION("""COMPUTED_VALUE"""),"Gus C")</f>
        <v>Gus C</v>
      </c>
      <c r="Y5" s="41"/>
      <c r="Z5" s="40"/>
      <c r="AA5" s="40"/>
    </row>
    <row r="6">
      <c r="C6" s="31"/>
      <c r="D6" s="42"/>
      <c r="E6" s="38">
        <v>15.0</v>
      </c>
      <c r="F6" s="32"/>
      <c r="G6" s="42"/>
      <c r="H6" s="42"/>
      <c r="I6" s="37">
        <v>30.0</v>
      </c>
      <c r="J6" s="37">
        <f t="shared" si="1"/>
        <v>45</v>
      </c>
      <c r="K6" s="38">
        <f t="shared" si="3"/>
        <v>45</v>
      </c>
      <c r="L6" s="39">
        <v>3.0</v>
      </c>
      <c r="M6" s="42"/>
      <c r="N6" s="42"/>
      <c r="O6" s="32"/>
      <c r="P6" s="32"/>
      <c r="Q6" s="32"/>
      <c r="R6" s="42"/>
      <c r="S6" s="32"/>
      <c r="T6" s="37">
        <f t="shared" si="2"/>
        <v>0</v>
      </c>
      <c r="U6" s="38">
        <f t="shared" si="4"/>
        <v>60</v>
      </c>
      <c r="V6" s="40"/>
      <c r="W6" s="41" t="str">
        <f>IFERROR(__xludf.DUMMYFUNCTION("""COMPUTED_VALUE"""),"Ryan Jiang")</f>
        <v>Ryan Jiang</v>
      </c>
      <c r="X6" s="41" t="str">
        <f>IFERROR(__xludf.DUMMYFUNCTION("""COMPUTED_VALUE"""),"Aaron O.")</f>
        <v>Aaron O.</v>
      </c>
      <c r="Y6" s="41"/>
      <c r="Z6" s="40"/>
      <c r="AA6" s="40"/>
    </row>
    <row r="7">
      <c r="C7" s="31"/>
      <c r="D7" s="38">
        <v>10.0</v>
      </c>
      <c r="E7" s="42"/>
      <c r="F7" s="42"/>
      <c r="G7" s="42"/>
      <c r="H7" s="32"/>
      <c r="I7" s="37">
        <v>20.0</v>
      </c>
      <c r="J7" s="37">
        <f t="shared" si="1"/>
        <v>30</v>
      </c>
      <c r="K7" s="38">
        <f t="shared" si="3"/>
        <v>75</v>
      </c>
      <c r="L7" s="39">
        <v>4.0</v>
      </c>
      <c r="M7" s="42"/>
      <c r="N7" s="42"/>
      <c r="O7" s="42"/>
      <c r="P7" s="42"/>
      <c r="Q7" s="42"/>
      <c r="R7" s="42"/>
      <c r="S7" s="42"/>
      <c r="T7" s="37">
        <f t="shared" si="2"/>
        <v>0</v>
      </c>
      <c r="U7" s="38">
        <f t="shared" si="4"/>
        <v>60</v>
      </c>
      <c r="V7" s="40"/>
      <c r="W7" s="41" t="str">
        <f>IFERROR(__xludf.DUMMYFUNCTION("""COMPUTED_VALUE"""),"Carter Matties")</f>
        <v>Carter Matties</v>
      </c>
      <c r="X7" s="41" t="str">
        <f>IFERROR(__xludf.DUMMYFUNCTION("""COMPUTED_VALUE"""),"Corrigan P.")</f>
        <v>Corrigan P.</v>
      </c>
      <c r="Y7" s="41"/>
      <c r="Z7" s="40"/>
      <c r="AA7" s="40"/>
    </row>
    <row r="8">
      <c r="C8" s="31"/>
      <c r="D8" s="37">
        <v>-5.0</v>
      </c>
      <c r="E8" s="32"/>
      <c r="F8" s="32"/>
      <c r="G8" s="42"/>
      <c r="H8" s="42"/>
      <c r="I8" s="32"/>
      <c r="J8" s="37">
        <f t="shared" si="1"/>
        <v>-5</v>
      </c>
      <c r="K8" s="38">
        <f t="shared" si="3"/>
        <v>70</v>
      </c>
      <c r="L8" s="39">
        <v>5.0</v>
      </c>
      <c r="M8" s="37">
        <v>10.0</v>
      </c>
      <c r="N8" s="42"/>
      <c r="O8" s="42"/>
      <c r="P8" s="42"/>
      <c r="Q8" s="32"/>
      <c r="R8" s="42"/>
      <c r="S8" s="37">
        <v>0.0</v>
      </c>
      <c r="T8" s="37">
        <f t="shared" si="2"/>
        <v>10</v>
      </c>
      <c r="U8" s="38">
        <f t="shared" si="4"/>
        <v>70</v>
      </c>
      <c r="V8" s="40"/>
      <c r="W8" s="41" t="str">
        <f>IFERROR(__xludf.DUMMYFUNCTION("""COMPUTED_VALUE"""),"Ben Kantsiper")</f>
        <v>Ben Kantsiper</v>
      </c>
      <c r="X8" s="41" t="str">
        <f>IFERROR(__xludf.DUMMYFUNCTION("""COMPUTED_VALUE"""),"")</f>
        <v/>
      </c>
      <c r="Y8" s="41"/>
      <c r="Z8" s="40"/>
      <c r="AA8" s="40"/>
    </row>
    <row r="9">
      <c r="C9" s="44"/>
      <c r="D9" s="37">
        <v>15.0</v>
      </c>
      <c r="E9" s="32"/>
      <c r="F9" s="32"/>
      <c r="G9" s="32"/>
      <c r="H9" s="42"/>
      <c r="I9" s="37">
        <v>30.0</v>
      </c>
      <c r="J9" s="37">
        <f t="shared" si="1"/>
        <v>45</v>
      </c>
      <c r="K9" s="38">
        <f t="shared" si="3"/>
        <v>115</v>
      </c>
      <c r="L9" s="39">
        <v>6.0</v>
      </c>
      <c r="M9" s="42"/>
      <c r="N9" s="42"/>
      <c r="O9" s="42"/>
      <c r="P9" s="32"/>
      <c r="Q9" s="42"/>
      <c r="R9" s="42"/>
      <c r="S9" s="42"/>
      <c r="T9" s="37">
        <f t="shared" si="2"/>
        <v>0</v>
      </c>
      <c r="U9" s="38">
        <f t="shared" si="4"/>
        <v>70</v>
      </c>
      <c r="V9" s="40"/>
      <c r="W9" s="41" t="str">
        <f>IFERROR(__xludf.DUMMYFUNCTION("""COMPUTED_VALUE"""),"")</f>
        <v/>
      </c>
      <c r="X9" s="41" t="str">
        <f>IFERROR(__xludf.DUMMYFUNCTION("""COMPUTED_VALUE"""),"")</f>
        <v/>
      </c>
      <c r="Y9" s="41"/>
      <c r="Z9" s="40"/>
      <c r="AA9" s="40"/>
    </row>
    <row r="10">
      <c r="C10" s="45">
        <v>10.0</v>
      </c>
      <c r="D10" s="32"/>
      <c r="E10" s="42"/>
      <c r="F10" s="32"/>
      <c r="G10" s="42"/>
      <c r="H10" s="42"/>
      <c r="I10" s="37">
        <v>30.0</v>
      </c>
      <c r="J10" s="37">
        <f t="shared" si="1"/>
        <v>40</v>
      </c>
      <c r="K10" s="38">
        <f t="shared" si="3"/>
        <v>155</v>
      </c>
      <c r="L10" s="39">
        <v>7.0</v>
      </c>
      <c r="M10" s="42"/>
      <c r="N10" s="42"/>
      <c r="O10" s="32"/>
      <c r="P10" s="42"/>
      <c r="Q10" s="42"/>
      <c r="R10" s="42"/>
      <c r="S10" s="32"/>
      <c r="T10" s="37">
        <f t="shared" si="2"/>
        <v>0</v>
      </c>
      <c r="U10" s="38">
        <f t="shared" si="4"/>
        <v>70</v>
      </c>
      <c r="V10" s="40"/>
      <c r="W10" s="41" t="str">
        <f>IFERROR(__xludf.DUMMYFUNCTION("""COMPUTED_VALUE"""),"")</f>
        <v/>
      </c>
      <c r="X10" s="41" t="str">
        <f>IFERROR(__xludf.DUMMYFUNCTION("""COMPUTED_VALUE"""),"")</f>
        <v/>
      </c>
      <c r="Y10" s="41"/>
      <c r="Z10" s="40"/>
      <c r="AA10" s="40"/>
    </row>
    <row r="11">
      <c r="C11" s="44"/>
      <c r="D11" s="32"/>
      <c r="E11" s="42"/>
      <c r="F11" s="38">
        <v>15.0</v>
      </c>
      <c r="G11" s="42"/>
      <c r="H11" s="42"/>
      <c r="I11" s="37">
        <v>20.0</v>
      </c>
      <c r="J11" s="37">
        <f t="shared" si="1"/>
        <v>35</v>
      </c>
      <c r="K11" s="38">
        <f t="shared" si="3"/>
        <v>190</v>
      </c>
      <c r="L11" s="39">
        <v>8.0</v>
      </c>
      <c r="M11" s="42"/>
      <c r="N11" s="42"/>
      <c r="O11" s="42"/>
      <c r="P11" s="42"/>
      <c r="Q11" s="42"/>
      <c r="R11" s="42"/>
      <c r="S11" s="42"/>
      <c r="T11" s="37">
        <f t="shared" si="2"/>
        <v>0</v>
      </c>
      <c r="U11" s="38">
        <f t="shared" si="4"/>
        <v>70</v>
      </c>
      <c r="V11" s="40"/>
      <c r="W11" s="41" t="str">
        <f>IFERROR(__xludf.DUMMYFUNCTION("""COMPUTED_VALUE"""),"")</f>
        <v/>
      </c>
      <c r="X11" s="41" t="str">
        <f>IFERROR(__xludf.DUMMYFUNCTION("""COMPUTED_VALUE"""),"")</f>
        <v/>
      </c>
      <c r="Y11" s="41"/>
      <c r="Z11" s="40"/>
      <c r="AA11" s="40"/>
    </row>
    <row r="12">
      <c r="C12" s="44"/>
      <c r="D12" s="37">
        <v>10.0</v>
      </c>
      <c r="E12" s="42"/>
      <c r="F12" s="42"/>
      <c r="G12" s="42"/>
      <c r="H12" s="42"/>
      <c r="I12" s="37">
        <v>20.0</v>
      </c>
      <c r="J12" s="37">
        <f t="shared" si="1"/>
        <v>30</v>
      </c>
      <c r="K12" s="38">
        <f t="shared" si="3"/>
        <v>220</v>
      </c>
      <c r="L12" s="39">
        <v>9.0</v>
      </c>
      <c r="M12" s="42"/>
      <c r="N12" s="32"/>
      <c r="O12" s="42"/>
      <c r="P12" s="42"/>
      <c r="Q12" s="42"/>
      <c r="R12" s="42"/>
      <c r="S12" s="32"/>
      <c r="T12" s="37">
        <f t="shared" si="2"/>
        <v>0</v>
      </c>
      <c r="U12" s="38">
        <f t="shared" si="4"/>
        <v>70</v>
      </c>
      <c r="V12" s="40"/>
      <c r="W12" s="41" t="str">
        <f>IFERROR(__xludf.DUMMYFUNCTION("""COMPUTED_VALUE"""),"")</f>
        <v/>
      </c>
      <c r="X12" s="41" t="str">
        <f>IFERROR(__xludf.DUMMYFUNCTION("""COMPUTED_VALUE"""),"")</f>
        <v/>
      </c>
      <c r="Y12" s="41"/>
      <c r="Z12" s="40"/>
      <c r="AA12" s="40"/>
    </row>
    <row r="13">
      <c r="C13" s="44"/>
      <c r="D13" s="32"/>
      <c r="E13" s="37">
        <v>10.0</v>
      </c>
      <c r="F13" s="42"/>
      <c r="G13" s="42"/>
      <c r="H13" s="42"/>
      <c r="I13" s="37">
        <v>10.0</v>
      </c>
      <c r="J13" s="37">
        <f t="shared" si="1"/>
        <v>20</v>
      </c>
      <c r="K13" s="38">
        <f t="shared" si="3"/>
        <v>240</v>
      </c>
      <c r="L13" s="39">
        <v>10.0</v>
      </c>
      <c r="M13" s="42"/>
      <c r="N13" s="42"/>
      <c r="O13" s="32"/>
      <c r="P13" s="42"/>
      <c r="Q13" s="42"/>
      <c r="R13" s="42"/>
      <c r="S13" s="32"/>
      <c r="T13" s="37">
        <f t="shared" si="2"/>
        <v>0</v>
      </c>
      <c r="U13" s="38">
        <f t="shared" si="4"/>
        <v>70</v>
      </c>
      <c r="V13" s="40"/>
      <c r="W13" s="40" t="str">
        <f>IFERROR(__xludf.DUMMYFUNCTION("""COMPUTED_VALUE"""),"")</f>
        <v/>
      </c>
      <c r="X13" s="40" t="str">
        <f>IFERROR(__xludf.DUMMYFUNCTION("""COMPUTED_VALUE"""),"")</f>
        <v/>
      </c>
      <c r="Y13" s="40"/>
      <c r="Z13" s="40"/>
      <c r="AA13" s="40"/>
    </row>
    <row r="14">
      <c r="C14" s="31"/>
      <c r="D14" s="32"/>
      <c r="E14" s="42"/>
      <c r="F14" s="42"/>
      <c r="G14" s="42"/>
      <c r="H14" s="42"/>
      <c r="I14" s="32"/>
      <c r="J14" s="37">
        <f t="shared" si="1"/>
        <v>0</v>
      </c>
      <c r="K14" s="38">
        <f t="shared" si="3"/>
        <v>240</v>
      </c>
      <c r="L14" s="39">
        <v>11.0</v>
      </c>
      <c r="M14" s="37">
        <v>10.0</v>
      </c>
      <c r="N14" s="42"/>
      <c r="O14" s="32"/>
      <c r="P14" s="42"/>
      <c r="Q14" s="42"/>
      <c r="R14" s="42"/>
      <c r="S14" s="37">
        <v>0.0</v>
      </c>
      <c r="T14" s="37">
        <f t="shared" si="2"/>
        <v>10</v>
      </c>
      <c r="U14" s="38">
        <f t="shared" si="4"/>
        <v>80</v>
      </c>
      <c r="V14" s="46"/>
      <c r="W14" s="46" t="str">
        <f>IFERROR(__xludf.DUMMYFUNCTION("""COMPUTED_VALUE"""),"")</f>
        <v/>
      </c>
      <c r="X14" s="46" t="str">
        <f>IFERROR(__xludf.DUMMYFUNCTION("""COMPUTED_VALUE"""),"")</f>
        <v/>
      </c>
      <c r="Y14" s="46"/>
      <c r="Z14" s="46"/>
      <c r="AA14" s="46"/>
    </row>
    <row r="15">
      <c r="C15" s="44"/>
      <c r="D15" s="38">
        <v>15.0</v>
      </c>
      <c r="E15" s="42"/>
      <c r="F15" s="32"/>
      <c r="G15" s="42"/>
      <c r="H15" s="42"/>
      <c r="I15" s="37">
        <v>30.0</v>
      </c>
      <c r="J15" s="37">
        <f t="shared" si="1"/>
        <v>45</v>
      </c>
      <c r="K15" s="38">
        <f t="shared" si="3"/>
        <v>285</v>
      </c>
      <c r="L15" s="39">
        <v>12.0</v>
      </c>
      <c r="M15" s="42"/>
      <c r="N15" s="32"/>
      <c r="O15" s="42"/>
      <c r="P15" s="42"/>
      <c r="Q15" s="42"/>
      <c r="R15" s="42"/>
      <c r="S15" s="42"/>
      <c r="T15" s="37">
        <f t="shared" si="2"/>
        <v>0</v>
      </c>
      <c r="U15" s="38">
        <f t="shared" si="4"/>
        <v>80</v>
      </c>
      <c r="V15" s="46"/>
      <c r="W15" s="46" t="str">
        <f>IFERROR(__xludf.DUMMYFUNCTION("""COMPUTED_VALUE"""),"")</f>
        <v/>
      </c>
      <c r="X15" s="46" t="str">
        <f>IFERROR(__xludf.DUMMYFUNCTION("""COMPUTED_VALUE"""),"")</f>
        <v/>
      </c>
      <c r="Y15" s="46"/>
      <c r="Z15" s="46"/>
      <c r="AA15" s="46"/>
    </row>
    <row r="16">
      <c r="C16" s="31"/>
      <c r="D16" s="42"/>
      <c r="E16" s="42"/>
      <c r="F16" s="42"/>
      <c r="G16" s="42"/>
      <c r="H16" s="32"/>
      <c r="I16" s="32"/>
      <c r="J16" s="37">
        <f t="shared" si="1"/>
        <v>0</v>
      </c>
      <c r="K16" s="38">
        <f t="shared" si="3"/>
        <v>285</v>
      </c>
      <c r="L16" s="39">
        <v>13.0</v>
      </c>
      <c r="M16" s="32"/>
      <c r="N16" s="38">
        <v>15.0</v>
      </c>
      <c r="O16" s="42"/>
      <c r="P16" s="42"/>
      <c r="Q16" s="42"/>
      <c r="R16" s="42"/>
      <c r="S16" s="37">
        <v>20.0</v>
      </c>
      <c r="T16" s="37">
        <f t="shared" si="2"/>
        <v>35</v>
      </c>
      <c r="U16" s="38">
        <f t="shared" si="4"/>
        <v>115</v>
      </c>
      <c r="V16" s="46"/>
      <c r="W16" s="46"/>
      <c r="X16" s="46"/>
      <c r="Y16" s="46"/>
      <c r="Z16" s="46"/>
      <c r="AA16" s="46"/>
    </row>
    <row r="17">
      <c r="C17" s="31"/>
      <c r="D17" s="38">
        <v>10.0</v>
      </c>
      <c r="E17" s="42"/>
      <c r="F17" s="42"/>
      <c r="G17" s="42"/>
      <c r="H17" s="42"/>
      <c r="I17" s="37">
        <v>30.0</v>
      </c>
      <c r="J17" s="37">
        <f t="shared" si="1"/>
        <v>40</v>
      </c>
      <c r="K17" s="38">
        <f t="shared" si="3"/>
        <v>325</v>
      </c>
      <c r="L17" s="39">
        <v>14.0</v>
      </c>
      <c r="M17" s="32"/>
      <c r="N17" s="42"/>
      <c r="O17" s="32"/>
      <c r="P17" s="42"/>
      <c r="Q17" s="42"/>
      <c r="R17" s="42"/>
      <c r="S17" s="32"/>
      <c r="T17" s="37">
        <f t="shared" si="2"/>
        <v>0</v>
      </c>
      <c r="U17" s="38">
        <f t="shared" si="4"/>
        <v>115</v>
      </c>
      <c r="V17" s="40"/>
      <c r="W17" s="40"/>
      <c r="X17" s="40"/>
      <c r="Y17" s="40"/>
      <c r="Z17" s="46"/>
      <c r="AA17" s="46"/>
    </row>
    <row r="18">
      <c r="C18" s="44"/>
      <c r="D18" s="38">
        <v>-5.0</v>
      </c>
      <c r="E18" s="42"/>
      <c r="F18" s="42"/>
      <c r="G18" s="42"/>
      <c r="H18" s="42"/>
      <c r="I18" s="32"/>
      <c r="J18" s="37">
        <f t="shared" si="1"/>
        <v>-5</v>
      </c>
      <c r="K18" s="38">
        <f t="shared" si="3"/>
        <v>320</v>
      </c>
      <c r="L18" s="39">
        <v>15.0</v>
      </c>
      <c r="M18" s="37">
        <v>10.0</v>
      </c>
      <c r="N18" s="42"/>
      <c r="O18" s="42"/>
      <c r="P18" s="42"/>
      <c r="Q18" s="42"/>
      <c r="R18" s="42"/>
      <c r="S18" s="37">
        <v>20.0</v>
      </c>
      <c r="T18" s="37">
        <f t="shared" si="2"/>
        <v>30</v>
      </c>
      <c r="U18" s="38">
        <f t="shared" si="4"/>
        <v>145</v>
      </c>
      <c r="V18" s="40" t="str">
        <f>IFERROR(__xludf.DUMMYFUNCTION("IF(NOT(EQ(C38, """")), SPLIT(C38, "";""), """")"),"")</f>
        <v/>
      </c>
      <c r="W18" s="47"/>
      <c r="X18" s="40"/>
      <c r="Y18" s="40"/>
      <c r="Z18" s="46"/>
      <c r="AA18" s="46"/>
    </row>
    <row r="19">
      <c r="C19" s="44"/>
      <c r="D19" s="42"/>
      <c r="E19" s="42"/>
      <c r="F19" s="42"/>
      <c r="G19" s="42"/>
      <c r="H19" s="42"/>
      <c r="I19" s="32"/>
      <c r="J19" s="37">
        <f t="shared" si="1"/>
        <v>0</v>
      </c>
      <c r="K19" s="38">
        <f t="shared" si="3"/>
        <v>320</v>
      </c>
      <c r="L19" s="39">
        <v>16.0</v>
      </c>
      <c r="M19" s="37">
        <v>10.0</v>
      </c>
      <c r="N19" s="42"/>
      <c r="O19" s="42"/>
      <c r="P19" s="42"/>
      <c r="Q19" s="42"/>
      <c r="R19" s="42"/>
      <c r="S19" s="37">
        <v>10.0</v>
      </c>
      <c r="T19" s="37">
        <f t="shared" si="2"/>
        <v>20</v>
      </c>
      <c r="U19" s="38">
        <f t="shared" si="4"/>
        <v>165</v>
      </c>
      <c r="V19" s="40" t="str">
        <f t="shared" ref="V19:Y19" si="5">TRIM(V18)</f>
        <v/>
      </c>
      <c r="W19" s="40" t="str">
        <f t="shared" si="5"/>
        <v/>
      </c>
      <c r="X19" s="40" t="str">
        <f t="shared" si="5"/>
        <v/>
      </c>
      <c r="Y19" s="40" t="str">
        <f t="shared" si="5"/>
        <v/>
      </c>
      <c r="Z19" s="46"/>
      <c r="AA19" s="46"/>
    </row>
    <row r="20">
      <c r="C20" s="31"/>
      <c r="D20" s="38">
        <v>10.0</v>
      </c>
      <c r="E20" s="42"/>
      <c r="F20" s="42"/>
      <c r="G20" s="42"/>
      <c r="H20" s="42"/>
      <c r="I20" s="37">
        <v>20.0</v>
      </c>
      <c r="J20" s="37">
        <f t="shared" si="1"/>
        <v>30</v>
      </c>
      <c r="K20" s="38">
        <f t="shared" si="3"/>
        <v>350</v>
      </c>
      <c r="L20" s="39">
        <v>17.0</v>
      </c>
      <c r="M20" s="32"/>
      <c r="N20" s="42"/>
      <c r="O20" s="42"/>
      <c r="P20" s="42"/>
      <c r="Q20" s="42"/>
      <c r="R20" s="42"/>
      <c r="S20" s="32"/>
      <c r="T20" s="37">
        <f t="shared" si="2"/>
        <v>0</v>
      </c>
      <c r="U20" s="38">
        <f t="shared" si="4"/>
        <v>165</v>
      </c>
      <c r="V20" s="40" t="b">
        <f t="shared" ref="V20:Y20" si="6">EQ(V19,"")</f>
        <v>1</v>
      </c>
      <c r="W20" s="40" t="b">
        <f t="shared" si="6"/>
        <v>1</v>
      </c>
      <c r="X20" s="40" t="b">
        <f t="shared" si="6"/>
        <v>1</v>
      </c>
      <c r="Y20" s="40" t="b">
        <f t="shared" si="6"/>
        <v>1</v>
      </c>
      <c r="Z20" s="46"/>
      <c r="AA20" s="46"/>
    </row>
    <row r="21">
      <c r="C21" s="44"/>
      <c r="D21" s="42"/>
      <c r="E21" s="42"/>
      <c r="F21" s="42"/>
      <c r="G21" s="42"/>
      <c r="H21" s="42"/>
      <c r="I21" s="32"/>
      <c r="J21" s="37">
        <f t="shared" si="1"/>
        <v>0</v>
      </c>
      <c r="K21" s="38">
        <f t="shared" si="3"/>
        <v>350</v>
      </c>
      <c r="L21" s="39">
        <v>18.0</v>
      </c>
      <c r="M21" s="42"/>
      <c r="N21" s="37">
        <v>15.0</v>
      </c>
      <c r="O21" s="42"/>
      <c r="P21" s="42"/>
      <c r="Q21" s="42"/>
      <c r="R21" s="42"/>
      <c r="S21" s="37">
        <v>0.0</v>
      </c>
      <c r="T21" s="37">
        <f t="shared" si="2"/>
        <v>15</v>
      </c>
      <c r="U21" s="38">
        <f t="shared" si="4"/>
        <v>180</v>
      </c>
      <c r="V21" s="57" t="b">
        <f>EQ(UPPER(C2), LEFT(UPPER(V19), LEN(C2)))</f>
        <v>0</v>
      </c>
      <c r="W21" s="57" t="b">
        <f>EQ(UPPER(C2), LEFT(UPPER(W19), LEN(C2)))</f>
        <v>0</v>
      </c>
      <c r="X21" s="57" t="b">
        <f>EQ(UPPER(C2), LEFT(UPPER(X19), LEN(C2)))</f>
        <v>0</v>
      </c>
      <c r="Y21" s="57" t="b">
        <f>EQ(UPPER(C2), LEFT(UPPER(Y19), LEN(C2)))</f>
        <v>0</v>
      </c>
      <c r="Z21" s="46"/>
      <c r="AA21" s="46"/>
    </row>
    <row r="22">
      <c r="C22" s="44"/>
      <c r="D22" s="42"/>
      <c r="E22" s="42"/>
      <c r="F22" s="42"/>
      <c r="G22" s="42"/>
      <c r="H22" s="42"/>
      <c r="I22" s="42"/>
      <c r="J22" s="37">
        <f t="shared" si="1"/>
        <v>0</v>
      </c>
      <c r="K22" s="38">
        <f t="shared" si="3"/>
        <v>350</v>
      </c>
      <c r="L22" s="39">
        <v>19.0</v>
      </c>
      <c r="M22" s="38">
        <v>10.0</v>
      </c>
      <c r="N22" s="42"/>
      <c r="O22" s="32"/>
      <c r="P22" s="42"/>
      <c r="Q22" s="42"/>
      <c r="R22" s="42"/>
      <c r="S22" s="37">
        <v>20.0</v>
      </c>
      <c r="T22" s="37">
        <f t="shared" si="2"/>
        <v>30</v>
      </c>
      <c r="U22" s="38">
        <f t="shared" si="4"/>
        <v>210</v>
      </c>
      <c r="V22" s="57" t="b">
        <f>EQ(UPPER(M2), LEFT(UPPER(V19), LEN(M2)))</f>
        <v>0</v>
      </c>
      <c r="W22" s="57" t="b">
        <f>EQ(UPPER(M2), LEFT(UPPER(W19), LEN(M2)))</f>
        <v>0</v>
      </c>
      <c r="X22" s="40" t="b">
        <f>EQ(UPPER(M2), LEFT(UPPER(X19), LEN(M2)))</f>
        <v>0</v>
      </c>
      <c r="Y22" s="57" t="b">
        <f>EQ(UPPER(M2), LEFT(UPPER(Y19), LEN(M2)))</f>
        <v>0</v>
      </c>
      <c r="Z22" s="46"/>
      <c r="AA22" s="46"/>
    </row>
    <row r="23">
      <c r="C23" s="43">
        <v>15.0</v>
      </c>
      <c r="D23" s="42"/>
      <c r="E23" s="42"/>
      <c r="F23" s="42"/>
      <c r="G23" s="42"/>
      <c r="H23" s="42"/>
      <c r="I23" s="37">
        <v>20.0</v>
      </c>
      <c r="J23" s="37">
        <f t="shared" si="1"/>
        <v>35</v>
      </c>
      <c r="K23" s="38">
        <f t="shared" si="3"/>
        <v>385</v>
      </c>
      <c r="L23" s="39">
        <v>20.0</v>
      </c>
      <c r="M23" s="32"/>
      <c r="N23" s="42"/>
      <c r="O23" s="42"/>
      <c r="P23" s="42"/>
      <c r="Q23" s="42"/>
      <c r="R23" s="42"/>
      <c r="S23" s="42"/>
      <c r="T23" s="37">
        <f t="shared" si="2"/>
        <v>0</v>
      </c>
      <c r="U23" s="38">
        <f t="shared" si="4"/>
        <v>210</v>
      </c>
      <c r="V23" s="57" t="b">
        <f>IFERROR(__xludf.DUMMYFUNCTION("IFERROR(OR(REGEXEXTRACT(V19, ""[0-9]+ :|[0-9]+:""), True), False)"),FALSE)</f>
        <v>0</v>
      </c>
      <c r="W23" s="57" t="b">
        <f>IFERROR(__xludf.DUMMYFUNCTION("IFERROR(OR(REGEXEXTRACT(W19, ""[0-9]+ :|[0-9]+:""), True), False)"),FALSE)</f>
        <v>0</v>
      </c>
      <c r="X23" s="57" t="b">
        <f>IFERROR(__xludf.DUMMYFUNCTION("IFERROR(OR(REGEXEXTRACT(X19, ""[0-9]+ :|[0-9]+:""), True), False)"),FALSE)</f>
        <v>0</v>
      </c>
      <c r="Y23" s="57" t="b">
        <f>IFERROR(__xludf.DUMMYFUNCTION("IFERROR(OR(REGEXEXTRACT(Y19, ""[0-9]+ :|[0-9]+:""), True), False)"),FALSE)</f>
        <v>0</v>
      </c>
      <c r="Z23" s="46"/>
      <c r="AA23" s="46"/>
    </row>
    <row r="24">
      <c r="C24" s="67"/>
      <c r="D24" s="59"/>
      <c r="E24" s="60"/>
      <c r="F24" s="61"/>
      <c r="G24" s="60"/>
      <c r="H24" s="59"/>
      <c r="I24" s="62" t="s">
        <v>59</v>
      </c>
      <c r="J24" s="63">
        <f t="shared" ref="J24:J27" si="8">IF(COUNTA(C24:H24)&lt;=1, IF(AND(OR(C24&lt;0, D24&lt;0, E24&lt;0, F24&lt;0, G24&lt;0, H24&lt;0), I24&gt;0), "BON.ERR", SUM(C24:H24)), "NEG.ERR")</f>
        <v>0</v>
      </c>
      <c r="K24" s="64">
        <f t="shared" si="3"/>
        <v>385</v>
      </c>
      <c r="L24" s="68" t="s">
        <v>60</v>
      </c>
      <c r="M24" s="66"/>
      <c r="N24" s="59"/>
      <c r="O24" s="66"/>
      <c r="P24" s="59"/>
      <c r="Q24" s="66"/>
      <c r="R24" s="59"/>
      <c r="S24" s="62" t="s">
        <v>59</v>
      </c>
      <c r="T24" s="63">
        <f t="shared" ref="T24:T27" si="9">IF(COUNTA(M24:R24)&lt;=1, IF(AND(OR(M24&lt;0, N24&lt;0, O24&lt;0, P24&lt;0, Q24&lt;0, R24&lt;0), S24&gt;0), "BON.ERR", SUM(M24:R24)), "NEG.ERR")</f>
        <v>0</v>
      </c>
      <c r="U24" s="64">
        <f t="shared" si="4"/>
        <v>210</v>
      </c>
      <c r="V24" s="57" t="b">
        <f t="shared" ref="V24:W24" si="7">IFERROR(IF(V21, AND(FIND(UPPER(C3), UPPER(V19)) &gt; 0, NOT(EQ(C3,""))), AND(FIND(UPPER(M3), UPPER(V19)) &gt; 0, NOT(EQ(M3,"")))), FALSE)</f>
        <v>0</v>
      </c>
      <c r="W24" s="57" t="b">
        <f t="shared" si="7"/>
        <v>0</v>
      </c>
      <c r="X24" s="57" t="b">
        <f>IFERROR(IF(X21, AND(FIND(UPPER(C3), UPPER(X19)) &gt; 0, NOT(EQ(C3,""))), AND(FIND(UPPER(M3), UPPER(X19)) &gt; 0, NOT(EQ(M3,"")))), FALSE)</f>
        <v>0</v>
      </c>
      <c r="Y24" s="57" t="b">
        <f>IFERROR(IF(Y21, AND(FIND(UPPER(C3), UPPER(Y19)) &gt; 0, NOT(EQ(C3,""))), AND(FIND(UPPER(M3), UPPER(Y19)) &gt; 0, NOT(EQ(M3,"")))), FALSE)</f>
        <v>0</v>
      </c>
      <c r="Z24" s="46"/>
      <c r="AA24" s="46"/>
    </row>
    <row r="25">
      <c r="C25" s="67"/>
      <c r="D25" s="61"/>
      <c r="E25" s="60"/>
      <c r="F25" s="59"/>
      <c r="G25" s="60"/>
      <c r="H25" s="59"/>
      <c r="I25" s="62" t="s">
        <v>59</v>
      </c>
      <c r="J25" s="63">
        <f t="shared" si="8"/>
        <v>0</v>
      </c>
      <c r="K25" s="64">
        <f t="shared" si="3"/>
        <v>385</v>
      </c>
      <c r="L25" s="25"/>
      <c r="M25" s="66"/>
      <c r="N25" s="59"/>
      <c r="O25" s="66"/>
      <c r="P25" s="59"/>
      <c r="Q25" s="66"/>
      <c r="R25" s="59"/>
      <c r="S25" s="62" t="s">
        <v>59</v>
      </c>
      <c r="T25" s="63">
        <f t="shared" si="9"/>
        <v>0</v>
      </c>
      <c r="U25" s="64">
        <f t="shared" si="4"/>
        <v>210</v>
      </c>
      <c r="V25" s="57" t="b">
        <f t="shared" ref="V25:W25" si="10">IFERROR(IF(V21, AND(FIND(UPPER(D3), UPPER(V19)) &gt; 0, NOT(EQ(D3,""))), AND(FIND(UPPER(N3), UPPER(V19)) &gt; 0, NOT(EQ(N3,"")))), FALSE)</f>
        <v>0</v>
      </c>
      <c r="W25" s="57" t="b">
        <f t="shared" si="10"/>
        <v>0</v>
      </c>
      <c r="X25" s="57" t="b">
        <f>IFERROR(IF(X21, AND(FIND(UPPER(D3), UPPER(X19)) &gt; 0, NOT(EQ(D3,""))), AND(FIND(UPPER(N3), UPPER(X19)) &gt; 0, NOT(EQ(N3,"")))), FALSE)</f>
        <v>0</v>
      </c>
      <c r="Y25" s="57" t="b">
        <f>IFERROR(IF(Y21, AND(FIND(UPPER(D3), UPPER(Y19)) &gt; 0, NOT(EQ(D3,""))), AND(FIND(UPPER(N3), UPPER(Y19)) &gt; 0, NOT(EQ(N3,"")))), FALSE)</f>
        <v>0</v>
      </c>
      <c r="Z25" s="46"/>
      <c r="AA25" s="46"/>
    </row>
    <row r="26">
      <c r="C26" s="67"/>
      <c r="D26" s="59"/>
      <c r="E26" s="60"/>
      <c r="F26" s="59"/>
      <c r="G26" s="60"/>
      <c r="H26" s="59"/>
      <c r="I26" s="62" t="s">
        <v>59</v>
      </c>
      <c r="J26" s="63">
        <f t="shared" si="8"/>
        <v>0</v>
      </c>
      <c r="K26" s="64">
        <f t="shared" si="3"/>
        <v>385</v>
      </c>
      <c r="L26" s="25"/>
      <c r="M26" s="66"/>
      <c r="N26" s="59"/>
      <c r="O26" s="66"/>
      <c r="P26" s="59"/>
      <c r="Q26" s="66"/>
      <c r="R26" s="59"/>
      <c r="S26" s="62" t="s">
        <v>59</v>
      </c>
      <c r="T26" s="63">
        <f t="shared" si="9"/>
        <v>0</v>
      </c>
      <c r="U26" s="64">
        <f t="shared" si="4"/>
        <v>210</v>
      </c>
      <c r="V26" s="57" t="b">
        <f t="shared" ref="V26:W26" si="11">IFERROR(IF(V21, AND(FIND(UPPER(E3), UPPER(V19)) &gt; 0, NOT(EQ(E3,""))), AND(FIND(UPPER(O3), UPPER(V19)) &gt; 0, NOT(EQ(O3,"")))), FALSE)</f>
        <v>0</v>
      </c>
      <c r="W26" s="57" t="b">
        <f t="shared" si="11"/>
        <v>0</v>
      </c>
      <c r="X26" s="57" t="b">
        <f>IFERROR(IF(X21, AND(FIND(UPPER(E3), UPPER(X19)) &gt; 0, NOT(EQ(E3,""))), AND(FIND(UPPER(O3), UPPER(X19)) &gt; 0, NOT(EQ(O3,"")))), FALSE)</f>
        <v>0</v>
      </c>
      <c r="Y26" s="57" t="b">
        <f>IFERROR(IF(Y21, AND(FIND(UPPER(E3), UPPER(Y19)) &gt; 0, NOT(EQ(E3,""))), AND(FIND(UPPER(O3), UPPER(Y19)) &gt; 0, NOT(EQ(O3,"")))), FALSE)</f>
        <v>0</v>
      </c>
      <c r="Z26" s="46"/>
      <c r="AA26" s="46"/>
    </row>
    <row r="27">
      <c r="C27" s="67"/>
      <c r="D27" s="59"/>
      <c r="E27" s="60"/>
      <c r="F27" s="59"/>
      <c r="G27" s="60"/>
      <c r="H27" s="59"/>
      <c r="I27" s="62" t="s">
        <v>59</v>
      </c>
      <c r="J27" s="63">
        <f t="shared" si="8"/>
        <v>0</v>
      </c>
      <c r="K27" s="64">
        <f t="shared" si="3"/>
        <v>385</v>
      </c>
      <c r="L27" s="69"/>
      <c r="M27" s="66"/>
      <c r="N27" s="59"/>
      <c r="O27" s="66"/>
      <c r="P27" s="59"/>
      <c r="Q27" s="66"/>
      <c r="R27" s="59"/>
      <c r="S27" s="62" t="s">
        <v>59</v>
      </c>
      <c r="T27" s="63">
        <f t="shared" si="9"/>
        <v>0</v>
      </c>
      <c r="U27" s="64">
        <f t="shared" si="4"/>
        <v>210</v>
      </c>
      <c r="V27" s="57" t="b">
        <f t="shared" ref="V27:W27" si="12">IFERROR(IF(V21, AND(FIND(UPPER(F3), UPPER(V19)) &gt; 0, NOT(EQ(F3,""))), AND(FIND(UPPER(P3), UPPER(V19)) &gt; 0, NOT(EQ(P3,"")))), FALSE)</f>
        <v>0</v>
      </c>
      <c r="W27" s="57" t="b">
        <f t="shared" si="12"/>
        <v>0</v>
      </c>
      <c r="X27" s="57" t="b">
        <f>IFERROR(IF(X21, AND(FIND(UPPER(F3), UPPER(X19)) &gt; 0, NOT(EQ(F3,""))), AND(FIND(UPPER(P3), UPPER(X19)) &gt; 0, NOT(EQ(P3,"")))), FALSE)</f>
        <v>0</v>
      </c>
      <c r="Y27" s="57" t="b">
        <f>IFERROR(IF(Y21, AND(FIND(UPPER(F3), UPPER(Y19)) &gt; 0, NOT(EQ(F3,""))), AND(FIND(UPPER(P3), UPPER(Y19)) &gt; 0, NOT(EQ(P3,"")))), FALSE)</f>
        <v>0</v>
      </c>
      <c r="Z27" s="46"/>
      <c r="AA27" s="46"/>
    </row>
    <row r="28">
      <c r="B28" s="70">
        <v>15.0</v>
      </c>
      <c r="C28" s="71">
        <f t="shared" ref="C28:H28" si="13">COUNTIF(C4:C27, "=15")</f>
        <v>1</v>
      </c>
      <c r="D28" s="72">
        <f t="shared" si="13"/>
        <v>2</v>
      </c>
      <c r="E28" s="71">
        <f t="shared" si="13"/>
        <v>1</v>
      </c>
      <c r="F28" s="72">
        <f t="shared" si="13"/>
        <v>1</v>
      </c>
      <c r="G28" s="71">
        <f t="shared" si="13"/>
        <v>0</v>
      </c>
      <c r="H28" s="72">
        <f t="shared" si="13"/>
        <v>0</v>
      </c>
      <c r="I28" s="73" t="s">
        <v>61</v>
      </c>
      <c r="J28" s="74"/>
      <c r="K28" s="75" t="s">
        <v>62</v>
      </c>
      <c r="L28" s="76">
        <v>15.0</v>
      </c>
      <c r="M28" s="77">
        <f t="shared" ref="M28:R28" si="14">COUNTIF(M4:M27, "=15")</f>
        <v>0</v>
      </c>
      <c r="N28" s="78">
        <f t="shared" si="14"/>
        <v>2</v>
      </c>
      <c r="O28" s="77">
        <f t="shared" si="14"/>
        <v>0</v>
      </c>
      <c r="P28" s="78">
        <f t="shared" si="14"/>
        <v>0</v>
      </c>
      <c r="Q28" s="77">
        <f t="shared" si="14"/>
        <v>0</v>
      </c>
      <c r="R28" s="78">
        <f t="shared" si="14"/>
        <v>0</v>
      </c>
      <c r="S28" s="79" t="s">
        <v>61</v>
      </c>
      <c r="T28" s="74"/>
      <c r="U28" s="80" t="s">
        <v>62</v>
      </c>
      <c r="V28" s="57" t="b">
        <f t="shared" ref="V28:W28" si="15">IFERROR(IF(V21, AND(FIND(UPPER(G3), UPPER(V19)) &gt; 0, NOT(EQ(G3,""))), AND(FIND(UPPER(Q3), UPPER(V19)) &gt; 0, NOT(EQ(Q3,"")))), FALSE)</f>
        <v>0</v>
      </c>
      <c r="W28" s="57" t="b">
        <f t="shared" si="15"/>
        <v>0</v>
      </c>
      <c r="X28" s="57" t="b">
        <f>IFERROR(IF(X21, AND(FIND(UPPER(G3), UPPER(X19)) &gt; 0, NOT(EQ(G3,""))), AND(FIND(UPPER(Q3), UPPER(X19)) &gt; 0, NOT(EQ(Q3,"")))), FALSE)</f>
        <v>0</v>
      </c>
      <c r="Y28" s="57" t="b">
        <f>IFERROR(IF(Y21, AND(FIND(UPPER(G3), UPPER(Y19)) &gt; 0, NOT(EQ(G3,""))), AND(FIND(UPPER(Q3), UPPER(Y19)) &gt; 0, NOT(EQ(Q3,"")))), FALSE)</f>
        <v>0</v>
      </c>
      <c r="Z28" s="46"/>
      <c r="AA28" s="46"/>
    </row>
    <row r="29">
      <c r="B29" s="81">
        <v>10.0</v>
      </c>
      <c r="C29" s="82">
        <f t="shared" ref="C29:H29" si="16">COUNTIF(C4:C27, "=10")</f>
        <v>1</v>
      </c>
      <c r="D29" s="83">
        <f t="shared" si="16"/>
        <v>4</v>
      </c>
      <c r="E29" s="82">
        <f t="shared" si="16"/>
        <v>1</v>
      </c>
      <c r="F29" s="83">
        <f t="shared" si="16"/>
        <v>0</v>
      </c>
      <c r="G29" s="82">
        <f t="shared" si="16"/>
        <v>0</v>
      </c>
      <c r="H29" s="83">
        <f t="shared" si="16"/>
        <v>0</v>
      </c>
      <c r="I29" s="84"/>
      <c r="J29" s="25"/>
      <c r="K29" s="85"/>
      <c r="L29" s="86">
        <v>10.0</v>
      </c>
      <c r="M29" s="87">
        <f t="shared" ref="M29:R29" si="17">COUNTIF(M4:M27, "=10")</f>
        <v>5</v>
      </c>
      <c r="N29" s="88">
        <f t="shared" si="17"/>
        <v>2</v>
      </c>
      <c r="O29" s="87">
        <f t="shared" si="17"/>
        <v>0</v>
      </c>
      <c r="P29" s="88">
        <f t="shared" si="17"/>
        <v>0</v>
      </c>
      <c r="Q29" s="87">
        <f t="shared" si="17"/>
        <v>0</v>
      </c>
      <c r="R29" s="88">
        <f t="shared" si="17"/>
        <v>0</v>
      </c>
      <c r="S29" s="84"/>
      <c r="T29" s="25"/>
      <c r="U29" s="85"/>
      <c r="V29" s="57" t="b">
        <f>IFERROR(IF(V21, AND(FIND(UPPER(H3), UPPER(V19)) &gt; 0, NOT(EQ(H3,""))), AND(FIND(UPPER(R3), UPPER(V19)) &gt; 0, NOT(EQ(R3,"")))), FALSE)</f>
        <v>0</v>
      </c>
      <c r="W29" s="57" t="b">
        <f>IFERROR(IF(W21, AND(FIND(UPPER(C3), UPPER(W19)) &gt; 0, NOT(EQ(C3,""))), AND(FIND(UPPER(M3), UPPER(W19)) &gt; 0, NOT(EQ(M3,"")))), FALSE)</f>
        <v>0</v>
      </c>
      <c r="X29" s="57" t="b">
        <f>IFERROR(IF(X21, AND(FIND(UPPER(H3), UPPER(X19)) &gt; 0, NOT(EQ(H3,""))), AND(FIND(UPPER(R3), UPPER(X19)) &gt; 0, NOT(EQ(R3,"")))), FALSE)</f>
        <v>0</v>
      </c>
      <c r="Y29" s="57" t="b">
        <f>IFERROR(IF(Y21, AND(FIND(UPPER(H3), UPPER(Y19)) &gt; 0, NOT(EQ(H3,""))), AND(FIND(UPPER(R3), UPPER(Y19)) &gt; 0, NOT(EQ(R3,"")))), FALSE)</f>
        <v>0</v>
      </c>
      <c r="Z29" s="46"/>
      <c r="AA29" s="46"/>
    </row>
    <row r="30">
      <c r="B30" s="81">
        <v>-5.0</v>
      </c>
      <c r="C30" s="89">
        <f t="shared" ref="C30:H30" si="18">COUNTIF(C4:C27, "=-5")</f>
        <v>0</v>
      </c>
      <c r="D30" s="90">
        <f t="shared" si="18"/>
        <v>2</v>
      </c>
      <c r="E30" s="89">
        <f t="shared" si="18"/>
        <v>0</v>
      </c>
      <c r="F30" s="90">
        <f t="shared" si="18"/>
        <v>0</v>
      </c>
      <c r="G30" s="89">
        <f t="shared" si="18"/>
        <v>0</v>
      </c>
      <c r="H30" s="90">
        <f t="shared" si="18"/>
        <v>0</v>
      </c>
      <c r="I30" s="91">
        <f>sum(I4:I23)</f>
        <v>260</v>
      </c>
      <c r="J30" s="25"/>
      <c r="K30" s="92">
        <f>IFERROR(I30/SUM(C28:G29), 0)</f>
        <v>23.63636364</v>
      </c>
      <c r="L30" s="86">
        <v>-5.0</v>
      </c>
      <c r="M30" s="93">
        <f t="shared" ref="M30:R30" si="19">COUNTIF(M4:M27, "=-5")</f>
        <v>0</v>
      </c>
      <c r="N30" s="94">
        <f t="shared" si="19"/>
        <v>0</v>
      </c>
      <c r="O30" s="93">
        <f t="shared" si="19"/>
        <v>0</v>
      </c>
      <c r="P30" s="94">
        <f t="shared" si="19"/>
        <v>0</v>
      </c>
      <c r="Q30" s="93">
        <f t="shared" si="19"/>
        <v>0</v>
      </c>
      <c r="R30" s="94">
        <f t="shared" si="19"/>
        <v>0</v>
      </c>
      <c r="S30" s="95">
        <f>sum(S4:S23)</f>
        <v>110</v>
      </c>
      <c r="T30" s="25"/>
      <c r="U30" s="96">
        <f>IFERROR(S30/SUM(M28:Q29), 0)</f>
        <v>12.22222222</v>
      </c>
      <c r="V30" s="57" t="b">
        <f t="shared" ref="V30:W30" si="20">AND(IF(AND(COUNTIF(V24:V29, TRUE)=2, IFERROR(FIND("-", V19) &gt; 0, TRUE)), TRUE, IF(AND(COUNTIF(V24:V29, TRUE)=1, IFERROR(FIND("-", V19) &gt; 0, FALSE)), TRUE, FALSE)),V23)</f>
        <v>0</v>
      </c>
      <c r="W30" s="57" t="b">
        <f t="shared" si="20"/>
        <v>0</v>
      </c>
      <c r="X30" s="57" t="b">
        <f>AND(IF(AND(COUNTIF(X24:X29, TRUE)= 2, IFERROR(FIND("-", X19) &gt; 0, TRUE)), TRUE, IF(AND(COUNTIF(X24:X29,TRUE)=1, IFERROR(FIND("-", X19) &gt; 0, FALSE)), TRUE, FALSE)),X23)</f>
        <v>0</v>
      </c>
      <c r="Y30" s="57" t="b">
        <f>AND(IF(AND(COUNTIF(Y24:Y29, TRUE)=2, IFERROR(FIND("-", Y19) &gt; 0, TRUE)), TRUE, IF(AND(COUNTIF(Y24:Y29, TRUE)=1, IFERROR(FIND("-", Y19) &gt; 0, FALSE)), TRUE, FALSE)),Y23)</f>
        <v>0</v>
      </c>
      <c r="Z30" s="46"/>
      <c r="AA30" s="46"/>
    </row>
    <row r="31">
      <c r="B31" s="97" t="s">
        <v>63</v>
      </c>
      <c r="C31" s="98">
        <f t="shared" ref="C31:H31" si="21">(C28*15)+(C29*10)+(C30*-5)</f>
        <v>25</v>
      </c>
      <c r="D31" s="99">
        <f t="shared" si="21"/>
        <v>60</v>
      </c>
      <c r="E31" s="98">
        <f t="shared" si="21"/>
        <v>25</v>
      </c>
      <c r="F31" s="99">
        <f t="shared" si="21"/>
        <v>15</v>
      </c>
      <c r="G31" s="98">
        <f t="shared" si="21"/>
        <v>0</v>
      </c>
      <c r="H31" s="99">
        <f t="shared" si="21"/>
        <v>0</v>
      </c>
      <c r="I31" s="100"/>
      <c r="J31" s="69"/>
      <c r="K31" s="101"/>
      <c r="L31" s="102" t="s">
        <v>63</v>
      </c>
      <c r="M31" s="103">
        <f t="shared" ref="M31:R31" si="22">(M28*15)+(M29*10)+(M30*-5)</f>
        <v>50</v>
      </c>
      <c r="N31" s="99">
        <f t="shared" si="22"/>
        <v>50</v>
      </c>
      <c r="O31" s="103">
        <f t="shared" si="22"/>
        <v>0</v>
      </c>
      <c r="P31" s="99">
        <f t="shared" si="22"/>
        <v>0</v>
      </c>
      <c r="Q31" s="103">
        <f t="shared" si="22"/>
        <v>0</v>
      </c>
      <c r="R31" s="99">
        <f t="shared" si="22"/>
        <v>0</v>
      </c>
      <c r="S31" s="100"/>
      <c r="T31" s="69"/>
      <c r="U31" s="101"/>
      <c r="V31" s="40" t="b">
        <f t="shared" ref="V31:Y31" si="23">OR(AND(V30, OR(V21,V22)),V20)</f>
        <v>1</v>
      </c>
      <c r="W31" s="40" t="b">
        <f t="shared" si="23"/>
        <v>1</v>
      </c>
      <c r="X31" s="40" t="b">
        <f t="shared" si="23"/>
        <v>1</v>
      </c>
      <c r="Y31" s="40" t="b">
        <f t="shared" si="23"/>
        <v>1</v>
      </c>
      <c r="Z31" s="46"/>
      <c r="AA31" s="46"/>
    </row>
    <row r="32">
      <c r="B32" s="104">
        <f>K27</f>
        <v>385</v>
      </c>
      <c r="I32" s="25"/>
      <c r="J32" s="105" t="s">
        <v>64</v>
      </c>
      <c r="K32" s="106"/>
      <c r="L32" s="106"/>
      <c r="M32" s="74"/>
      <c r="N32" s="107">
        <f>U27</f>
        <v>210</v>
      </c>
      <c r="O32" s="106"/>
      <c r="P32" s="106"/>
      <c r="Q32" s="106"/>
      <c r="R32" s="106"/>
      <c r="S32" s="106"/>
      <c r="T32" s="106"/>
      <c r="U32" s="74"/>
      <c r="V32" s="40" t="b">
        <f>AND(V31:Y31)</f>
        <v>1</v>
      </c>
      <c r="W32" s="40"/>
      <c r="X32" s="40"/>
      <c r="Y32" s="40"/>
      <c r="Z32" s="46"/>
      <c r="AA32" s="46"/>
    </row>
    <row r="33">
      <c r="B33" s="84"/>
      <c r="I33" s="25"/>
      <c r="J33" s="84"/>
      <c r="M33" s="25"/>
      <c r="N33" s="84"/>
      <c r="U33" s="25"/>
      <c r="V33" s="40"/>
      <c r="W33" s="40"/>
      <c r="X33" s="40"/>
      <c r="Y33" s="40"/>
      <c r="Z33" s="46"/>
      <c r="AA33" s="46"/>
    </row>
    <row r="34">
      <c r="B34" s="100"/>
      <c r="C34" s="109"/>
      <c r="D34" s="109"/>
      <c r="E34" s="109"/>
      <c r="F34" s="109"/>
      <c r="G34" s="109"/>
      <c r="H34" s="109"/>
      <c r="I34" s="69"/>
      <c r="J34" s="100"/>
      <c r="K34" s="109"/>
      <c r="L34" s="109"/>
      <c r="M34" s="69"/>
      <c r="N34" s="100"/>
      <c r="O34" s="109"/>
      <c r="P34" s="109"/>
      <c r="Q34" s="109"/>
      <c r="R34" s="109"/>
      <c r="S34" s="109"/>
      <c r="T34" s="109"/>
      <c r="U34" s="69"/>
      <c r="V34" s="46"/>
      <c r="W34" s="46"/>
      <c r="X34" s="46"/>
      <c r="Y34" s="46"/>
      <c r="Z34" s="46"/>
      <c r="AA34" s="46"/>
    </row>
    <row r="35">
      <c r="V35" s="46"/>
      <c r="W35" s="46"/>
      <c r="X35" s="46"/>
      <c r="Y35" s="46"/>
      <c r="Z35" s="46"/>
      <c r="AA35" s="40"/>
    </row>
    <row r="36">
      <c r="V36" s="46"/>
      <c r="W36" s="46"/>
      <c r="X36" s="46"/>
      <c r="Y36" s="46"/>
      <c r="Z36" s="46"/>
      <c r="AA36" s="40"/>
    </row>
    <row r="37">
      <c r="C37" s="156"/>
      <c r="V37" s="46"/>
      <c r="W37" s="46"/>
      <c r="X37" s="46"/>
      <c r="Y37" s="46"/>
      <c r="Z37" s="46"/>
      <c r="AA37" s="40"/>
    </row>
    <row r="38">
      <c r="C38" s="111"/>
      <c r="V38" s="46"/>
      <c r="W38" s="46"/>
      <c r="X38" s="46"/>
      <c r="Y38" s="46"/>
      <c r="Z38" s="46"/>
      <c r="AA38" s="40"/>
    </row>
    <row r="39">
      <c r="V39" s="46"/>
      <c r="W39" s="46"/>
      <c r="X39" s="46"/>
      <c r="Y39" s="46"/>
      <c r="Z39" s="46"/>
      <c r="AA39" s="40"/>
    </row>
    <row r="40">
      <c r="V40" s="46"/>
      <c r="W40" s="46"/>
      <c r="X40" s="46"/>
      <c r="Y40" s="112"/>
      <c r="Z40" s="112"/>
      <c r="AA40" s="40"/>
    </row>
    <row r="41">
      <c r="V41" s="46"/>
      <c r="W41" s="46"/>
      <c r="X41" s="46"/>
      <c r="Y41" s="46"/>
      <c r="Z41" s="46"/>
      <c r="AA41" s="40"/>
    </row>
    <row r="42">
      <c r="V42" s="46"/>
      <c r="W42" s="46"/>
      <c r="X42" s="46"/>
      <c r="Y42" s="46"/>
      <c r="Z42" s="46"/>
      <c r="AA42" s="40"/>
    </row>
    <row r="43">
      <c r="V43" s="46"/>
      <c r="W43" s="46"/>
      <c r="X43" s="46"/>
      <c r="Y43" s="46"/>
      <c r="Z43" s="46"/>
      <c r="AA43" s="40"/>
    </row>
    <row r="44">
      <c r="C44" s="113"/>
      <c r="F44" s="113"/>
      <c r="G44" s="113"/>
      <c r="V44" s="114"/>
      <c r="W44" s="46"/>
      <c r="X44" s="46"/>
      <c r="Y44" s="46"/>
      <c r="Z44" s="46"/>
      <c r="AA44" s="40"/>
    </row>
    <row r="45">
      <c r="C45" s="113"/>
      <c r="F45" s="113"/>
      <c r="G45" s="113"/>
      <c r="V45" s="40"/>
      <c r="W45" s="40"/>
      <c r="X45" s="40"/>
      <c r="Y45" s="40"/>
      <c r="Z45" s="40"/>
      <c r="AA45" s="40"/>
    </row>
    <row r="46">
      <c r="C46" s="115" t="s">
        <v>66</v>
      </c>
      <c r="F46" s="113"/>
      <c r="G46" s="113"/>
      <c r="V46" s="40"/>
      <c r="W46" s="40"/>
      <c r="X46" s="40"/>
      <c r="Y46" s="40"/>
      <c r="Z46" s="40"/>
      <c r="AA46" s="40"/>
    </row>
    <row r="47">
      <c r="C47" s="116"/>
      <c r="V47" s="40"/>
      <c r="W47" s="40"/>
      <c r="X47" s="40"/>
      <c r="Y47" s="40"/>
      <c r="Z47" s="40"/>
      <c r="AA47" s="40"/>
    </row>
    <row r="48">
      <c r="V48" s="40"/>
      <c r="W48" s="40"/>
      <c r="X48" s="40"/>
      <c r="Y48" s="40"/>
      <c r="Z48" s="40"/>
      <c r="AA48" s="40"/>
    </row>
    <row r="49">
      <c r="V49" s="40"/>
      <c r="W49" s="40"/>
      <c r="X49" s="40"/>
      <c r="Y49" s="40"/>
      <c r="Z49" s="40"/>
      <c r="AA49" s="40"/>
    </row>
    <row r="50">
      <c r="V50" s="40"/>
      <c r="W50" s="40"/>
      <c r="X50" s="40"/>
      <c r="Y50" s="40"/>
      <c r="Z50" s="40"/>
      <c r="AA50" s="40"/>
    </row>
    <row r="51">
      <c r="V51" s="40"/>
      <c r="W51" s="40"/>
      <c r="X51" s="40"/>
      <c r="Y51" s="40"/>
      <c r="Z51" s="40"/>
      <c r="AA51" s="40"/>
    </row>
    <row r="52">
      <c r="V52" s="40"/>
      <c r="W52" s="40"/>
      <c r="X52" s="40"/>
      <c r="Y52" s="40"/>
      <c r="Z52" s="40"/>
      <c r="AA52" s="40"/>
    </row>
    <row r="53">
      <c r="C53" s="113"/>
      <c r="F53" s="113"/>
      <c r="G53" s="113"/>
      <c r="V53" s="40"/>
      <c r="W53" s="40"/>
      <c r="X53" s="40"/>
      <c r="Y53" s="40"/>
      <c r="Z53" s="40"/>
      <c r="AA53" s="40"/>
    </row>
    <row r="54">
      <c r="C54" s="113"/>
      <c r="F54" s="113"/>
      <c r="G54" s="113"/>
      <c r="V54" s="40"/>
      <c r="W54" s="40"/>
      <c r="X54" s="40"/>
      <c r="Y54" s="40"/>
      <c r="Z54" s="40"/>
      <c r="AA54" s="40"/>
    </row>
  </sheetData>
  <mergeCells count="18">
    <mergeCell ref="I30:J31"/>
    <mergeCell ref="B32:I34"/>
    <mergeCell ref="C38:T43"/>
    <mergeCell ref="C47:T52"/>
    <mergeCell ref="J32:M34"/>
    <mergeCell ref="N32:U34"/>
    <mergeCell ref="U30:U31"/>
    <mergeCell ref="S30:T31"/>
    <mergeCell ref="K28:K29"/>
    <mergeCell ref="S28:T29"/>
    <mergeCell ref="K30:K31"/>
    <mergeCell ref="G1:Q1"/>
    <mergeCell ref="C2:K2"/>
    <mergeCell ref="L2:L3"/>
    <mergeCell ref="M2:U2"/>
    <mergeCell ref="L24:L27"/>
    <mergeCell ref="I28:J29"/>
    <mergeCell ref="U28:U29"/>
  </mergeCells>
  <conditionalFormatting sqref="C4:U23">
    <cfRule type="expression" dxfId="0" priority="1">
      <formula>$I:$I&lt;&gt;""</formula>
    </cfRule>
  </conditionalFormatting>
  <conditionalFormatting sqref="C4:U23">
    <cfRule type="expression" dxfId="0" priority="2">
      <formula>$S:$S&lt;&gt;""</formula>
    </cfRule>
  </conditionalFormatting>
  <conditionalFormatting sqref="A1">
    <cfRule type="notContainsBlanks" dxfId="1" priority="3">
      <formula>LEN(TRIM(A1))&gt;0</formula>
    </cfRule>
  </conditionalFormatting>
  <conditionalFormatting sqref="X12">
    <cfRule type="notContainsBlanks" dxfId="1" priority="4">
      <formula>LEN(TRIM(X12))&gt;0</formula>
    </cfRule>
  </conditionalFormatting>
  <conditionalFormatting sqref="C38:T43">
    <cfRule type="expression" dxfId="2" priority="5">
      <formula>NOT(V32)</formula>
    </cfRule>
  </conditionalFormatting>
  <conditionalFormatting sqref="C37">
    <cfRule type="expression" dxfId="3" priority="6">
      <formula>NOT(V32)</formula>
    </cfRule>
  </conditionalFormatting>
  <dataValidations>
    <dataValidation type="list" allowBlank="1" showErrorMessage="1" sqref="M3:R3">
      <formula1>'ROUND 8'!$X$5:$X$11</formula1>
    </dataValidation>
    <dataValidation type="list" allowBlank="1" showErrorMessage="1" sqref="I4:I23 S4:S23">
      <formula1>"0,10,20,30"</formula1>
    </dataValidation>
    <dataValidation type="list" allowBlank="1" showErrorMessage="1" sqref="C3:H3">
      <formula1>'ROUND 8'!$W$5:$W$11</formula1>
    </dataValidation>
    <dataValidation type="list" allowBlank="1" showErrorMessage="1" sqref="C4:H27 M4:R27">
      <formula1>"-5,10,15"</formula1>
    </dataValidation>
    <dataValidation type="list" allowBlank="1" showErrorMessage="1" sqref="C2 M2">
      <formula1>INSTRUCTIONS!$A$28:$AJ$28</formula1>
    </dataValidation>
  </dataValidations>
  <drawing r:id="rId1"/>
</worksheet>
</file>