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5" yWindow="480" windowWidth="11715" windowHeight="6450" tabRatio="832" firstSheet="3" activeTab="8"/>
  </bookViews>
  <sheets>
    <sheet name="รายการปรับปรุง" sheetId="32" state="hidden" r:id="rId1"/>
    <sheet name="งบแสดส่วนผู้ถือ" sheetId="17" state="hidden" r:id="rId2"/>
    <sheet name="รายการปรับปรุง (2)" sheetId="61" state="hidden" r:id="rId3"/>
    <sheet name="งบปี60 (1)" sheetId="58" r:id="rId4"/>
    <sheet name="งบปี60 (2)" sheetId="13" r:id="rId5"/>
    <sheet name="รายละเอียดประกอบงบ-1" sheetId="56" r:id="rId6"/>
    <sheet name="รายละเอียดประกอบงบ" sheetId="39" r:id="rId7"/>
    <sheet name="กรอกภงด.50" sheetId="59" state="hidden" r:id="rId8"/>
    <sheet name="ภาษี" sheetId="42" r:id="rId9"/>
    <sheet name="wps&amp;wpl" sheetId="7" state="hidden" r:id="rId10"/>
    <sheet name="C1.1" sheetId="1" state="hidden" r:id="rId11"/>
    <sheet name="C1.3" sheetId="44" state="hidden" r:id="rId12"/>
    <sheet name="C1.4" sheetId="50" state="hidden" r:id="rId13"/>
    <sheet name="C1.5" sheetId="51" state="hidden" r:id="rId14"/>
    <sheet name="C1.6" sheetId="43" state="hidden" r:id="rId15"/>
    <sheet name="C2.6" sheetId="34" state="hidden" r:id="rId16"/>
    <sheet name="C2.9" sheetId="41" state="hidden" r:id="rId17"/>
    <sheet name="C2.12" sheetId="45" state="hidden" r:id="rId18"/>
    <sheet name="C3.1" sheetId="52" state="hidden" r:id="rId19"/>
    <sheet name="C3.2" sheetId="46" state="hidden" r:id="rId20"/>
    <sheet name="C3.3" sheetId="53" state="hidden" r:id="rId21"/>
    <sheet name="C3.4" sheetId="54" state="hidden" r:id="rId22"/>
    <sheet name="C3.5" sheetId="55" state="hidden" r:id="rId23"/>
    <sheet name="C3.7" sheetId="35" state="hidden" r:id="rId24"/>
    <sheet name="C4" sheetId="47" state="hidden" r:id="rId25"/>
    <sheet name="C4.1" sheetId="48" state="hidden" r:id="rId26"/>
    <sheet name="C4.5" sheetId="49" state="hidden" r:id="rId27"/>
    <sheet name="C5" sheetId="15" state="hidden" r:id="rId28"/>
    <sheet name="C6.1" sheetId="31" state="hidden" r:id="rId29"/>
    <sheet name="C6.2" sheetId="9" state="hidden" r:id="rId30"/>
    <sheet name="C10" sheetId="23" state="hidden" r:id="rId31"/>
    <sheet name="C11" sheetId="8" state="hidden" r:id="rId32"/>
    <sheet name="Sheet1" sheetId="57" state="hidden" r:id="rId33"/>
    <sheet name="Sheet3" sheetId="60" state="hidden" r:id="rId34"/>
  </sheets>
  <externalReferences>
    <externalReference r:id="rId35"/>
  </externalReferences>
  <definedNames>
    <definedName name="_xlnm.Print_Area" localSheetId="31">'C11'!$A$1:$H$68</definedName>
    <definedName name="_xlnm.Print_Area" localSheetId="7">กรอกภงด.50!$A$1:$E$41</definedName>
    <definedName name="_xlnm.Print_Area" localSheetId="3">'งบปี60 (1)'!$A$1:$I$54</definedName>
    <definedName name="_xlnm.Print_Area" localSheetId="4">'งบปี60 (2)'!$A$1:$I$36</definedName>
    <definedName name="_xlnm.Print_Area" localSheetId="8">ภาษี!$A$1:$K$36</definedName>
    <definedName name="_xlnm.Print_Area" localSheetId="6">รายละเอียดประกอบงบ!$A$1:$G$34</definedName>
    <definedName name="_xlnm.Print_Area" localSheetId="5">'รายละเอียดประกอบงบ-1'!$A$1:$G$33</definedName>
  </definedNames>
  <calcPr calcId="125725"/>
</workbook>
</file>

<file path=xl/calcChain.xml><?xml version="1.0" encoding="utf-8"?>
<calcChain xmlns="http://schemas.openxmlformats.org/spreadsheetml/2006/main">
  <c r="C72" i="7"/>
  <c r="C66"/>
  <c r="G25" i="39"/>
  <c r="G8"/>
  <c r="E8" i="47"/>
  <c r="E7"/>
  <c r="I15" i="46"/>
  <c r="D9" i="23"/>
  <c r="D9" i="41"/>
  <c r="D25" i="8"/>
  <c r="H8" i="23"/>
  <c r="D13" i="8"/>
  <c r="D24"/>
  <c r="D7" i="31"/>
  <c r="D7" i="47"/>
  <c r="A3" i="42"/>
  <c r="G7" i="39"/>
  <c r="E7"/>
  <c r="G7" i="56"/>
  <c r="E7"/>
  <c r="I6" i="13"/>
  <c r="G6"/>
  <c r="H58" i="8"/>
  <c r="H19" i="23"/>
  <c r="H26" i="8"/>
  <c r="H24"/>
  <c r="H9" i="23"/>
  <c r="H12" i="46"/>
  <c r="G8" i="56" l="1"/>
  <c r="C8"/>
  <c r="C8" i="39"/>
  <c r="I15" i="42"/>
  <c r="G13" i="8"/>
  <c r="D19" i="23"/>
  <c r="G7"/>
  <c r="I14" i="42"/>
  <c r="I13"/>
  <c r="I12"/>
  <c r="I11"/>
  <c r="I10"/>
  <c r="I9"/>
  <c r="D15"/>
  <c r="D14"/>
  <c r="D13"/>
  <c r="D12"/>
  <c r="D11"/>
  <c r="D10"/>
  <c r="D9"/>
  <c r="E8" i="39" l="1"/>
  <c r="E8" i="56"/>
  <c r="K15" i="42"/>
  <c r="G10" i="39"/>
  <c r="G9"/>
  <c r="C10"/>
  <c r="C9"/>
  <c r="G24"/>
  <c r="G30" i="8"/>
  <c r="E24" i="39" s="1"/>
  <c r="G23"/>
  <c r="G22"/>
  <c r="G21"/>
  <c r="G20"/>
  <c r="G19"/>
  <c r="G18"/>
  <c r="G17"/>
  <c r="G16"/>
  <c r="G15"/>
  <c r="G14"/>
  <c r="G13"/>
  <c r="G12"/>
  <c r="C24"/>
  <c r="C23"/>
  <c r="C22"/>
  <c r="C21"/>
  <c r="C20"/>
  <c r="C19"/>
  <c r="C18"/>
  <c r="C17"/>
  <c r="C16"/>
  <c r="C15"/>
  <c r="C14"/>
  <c r="C13"/>
  <c r="C12"/>
  <c r="C13" i="56"/>
  <c r="C12"/>
  <c r="C11"/>
  <c r="C10"/>
  <c r="G20" i="8"/>
  <c r="G21"/>
  <c r="E15" i="39" s="1"/>
  <c r="G23" i="8"/>
  <c r="E17" i="39" s="1"/>
  <c r="G24" i="8"/>
  <c r="E18" i="39" s="1"/>
  <c r="G28" i="8"/>
  <c r="E22" i="39" s="1"/>
  <c r="G29" i="8"/>
  <c r="E23" i="39" s="1"/>
  <c r="A3" i="44"/>
  <c r="L14" i="47"/>
  <c r="L13"/>
  <c r="H5" i="44"/>
  <c r="D5"/>
  <c r="G5" s="1"/>
  <c r="G5" i="1"/>
  <c r="A35" i="42"/>
  <c r="A36"/>
  <c r="A1"/>
  <c r="G11" i="39"/>
  <c r="C11"/>
  <c r="A33" i="56"/>
  <c r="A33" i="39" s="1"/>
  <c r="A32" i="56"/>
  <c r="A32" i="39" s="1"/>
  <c r="G14" i="56"/>
  <c r="G13"/>
  <c r="G12"/>
  <c r="G11"/>
  <c r="G10"/>
  <c r="G9"/>
  <c r="C14"/>
  <c r="C9"/>
  <c r="A1"/>
  <c r="A1" i="39" s="1"/>
  <c r="G8" i="23"/>
  <c r="E9" i="56" s="1"/>
  <c r="I13" i="46"/>
  <c r="G12" i="43"/>
  <c r="A1" i="13"/>
  <c r="A32"/>
  <c r="A31"/>
  <c r="D68" i="8"/>
  <c r="D70" s="1"/>
  <c r="D71" s="1"/>
  <c r="F14" i="47"/>
  <c r="F13"/>
  <c r="G15" i="56" l="1"/>
  <c r="D57" i="7" l="1"/>
  <c r="C57"/>
  <c r="F10" i="47"/>
  <c r="E19" i="23"/>
  <c r="D54" i="7" s="1"/>
  <c r="G14" i="23" l="1"/>
  <c r="I18" i="58" l="1"/>
  <c r="B18"/>
  <c r="F17" i="7"/>
  <c r="G18" i="58" s="1"/>
  <c r="G15" i="41" l="1"/>
  <c r="I15" s="1"/>
  <c r="G9"/>
  <c r="I9" s="1"/>
  <c r="G17" i="61"/>
  <c r="F15"/>
  <c r="D50" i="7"/>
  <c r="F9" i="31"/>
  <c r="E50" i="7" s="1"/>
  <c r="A3" i="61"/>
  <c r="A1"/>
  <c r="D11" i="31"/>
  <c r="G15" i="23"/>
  <c r="G16" i="61" l="1"/>
  <c r="F21"/>
  <c r="G21"/>
  <c r="A40" i="59"/>
  <c r="D36"/>
  <c r="E35"/>
  <c r="A35"/>
  <c r="E34"/>
  <c r="A34"/>
  <c r="E33"/>
  <c r="A33"/>
  <c r="E32"/>
  <c r="A32"/>
  <c r="E31"/>
  <c r="A31"/>
  <c r="E30"/>
  <c r="A30"/>
  <c r="E29"/>
  <c r="A29"/>
  <c r="E28"/>
  <c r="A28"/>
  <c r="E27"/>
  <c r="A27"/>
  <c r="E26"/>
  <c r="A26"/>
  <c r="E25"/>
  <c r="A25"/>
  <c r="E24"/>
  <c r="A24"/>
  <c r="E23"/>
  <c r="A23"/>
  <c r="E22"/>
  <c r="A22"/>
  <c r="E21"/>
  <c r="A21"/>
  <c r="E20"/>
  <c r="A20"/>
  <c r="E19"/>
  <c r="A19"/>
  <c r="E18"/>
  <c r="A18"/>
  <c r="E17"/>
  <c r="A17"/>
  <c r="E16"/>
  <c r="A16"/>
  <c r="E15"/>
  <c r="A15"/>
  <c r="E14"/>
  <c r="A14"/>
  <c r="E13"/>
  <c r="A13"/>
  <c r="E12"/>
  <c r="A12"/>
  <c r="E11"/>
  <c r="A11"/>
  <c r="E10"/>
  <c r="A10"/>
  <c r="E9"/>
  <c r="A9"/>
  <c r="E8"/>
  <c r="A8"/>
  <c r="A3"/>
  <c r="G10" i="32"/>
  <c r="F19" i="23"/>
  <c r="E54" i="7" s="1"/>
  <c r="G6" i="32"/>
  <c r="D58" i="7"/>
  <c r="F58" i="8" l="1"/>
  <c r="E56" i="7" s="1"/>
  <c r="E58" i="8"/>
  <c r="D56" i="7" s="1"/>
  <c r="G16" i="8"/>
  <c r="E11" i="39" s="1"/>
  <c r="E40" i="7" l="1"/>
  <c r="E38"/>
  <c r="C40"/>
  <c r="C38"/>
  <c r="F10" i="15"/>
  <c r="E41" i="7" s="1"/>
  <c r="E10" i="15"/>
  <c r="F9" i="34"/>
  <c r="E9"/>
  <c r="E15" i="7"/>
  <c r="D15"/>
  <c r="H21" i="23"/>
  <c r="H22" s="1"/>
  <c r="E7" i="59" l="1"/>
  <c r="E36" s="1"/>
  <c r="F10" i="50"/>
  <c r="E10"/>
  <c r="E10" i="7"/>
  <c r="D10"/>
  <c r="F18" i="44"/>
  <c r="E9" i="7" s="1"/>
  <c r="E18" i="44"/>
  <c r="D9" i="7" s="1"/>
  <c r="D12" i="1"/>
  <c r="H12"/>
  <c r="G45" i="8"/>
  <c r="G27"/>
  <c r="E21" i="39" s="1"/>
  <c r="G26" i="8"/>
  <c r="E20" i="39" s="1"/>
  <c r="G41" i="8"/>
  <c r="G43"/>
  <c r="G48"/>
  <c r="G22"/>
  <c r="E16" i="39" s="1"/>
  <c r="G19" i="8"/>
  <c r="E14" i="39" s="1"/>
  <c r="C10" i="59" l="1"/>
  <c r="C13"/>
  <c r="C9"/>
  <c r="C29"/>
  <c r="C12"/>
  <c r="C31"/>
  <c r="K12" i="13"/>
  <c r="C34" i="59"/>
  <c r="C27"/>
  <c r="F27" s="1"/>
  <c r="A41"/>
  <c r="A1"/>
  <c r="H16" i="47"/>
  <c r="G17" i="23"/>
  <c r="G16"/>
  <c r="G13"/>
  <c r="E14" i="56" s="1"/>
  <c r="G12" i="23"/>
  <c r="E13" i="56" s="1"/>
  <c r="G11" i="23"/>
  <c r="E12" i="56" s="1"/>
  <c r="G10" i="23"/>
  <c r="E11" i="56" s="1"/>
  <c r="G9" i="46"/>
  <c r="G16" i="41"/>
  <c r="I16" s="1"/>
  <c r="G14"/>
  <c r="I14" s="1"/>
  <c r="F15" i="47"/>
  <c r="G12" i="45"/>
  <c r="G9" i="9"/>
  <c r="G8"/>
  <c r="G21" i="23" l="1"/>
  <c r="G46" i="8"/>
  <c r="G7" i="52"/>
  <c r="H11" i="49"/>
  <c r="G17" i="44"/>
  <c r="G11" i="45"/>
  <c r="G10"/>
  <c r="G9"/>
  <c r="G8" i="49"/>
  <c r="G7"/>
  <c r="D11"/>
  <c r="G51" i="8"/>
  <c r="G7" i="35"/>
  <c r="G16" i="44"/>
  <c r="G15"/>
  <c r="G14"/>
  <c r="G13"/>
  <c r="H10" i="47"/>
  <c r="H17" s="1"/>
  <c r="C32" i="59" l="1"/>
  <c r="J38" i="8"/>
  <c r="J15"/>
  <c r="G12" i="44"/>
  <c r="G11"/>
  <c r="G10"/>
  <c r="A88" i="58"/>
  <c r="A87"/>
  <c r="I70"/>
  <c r="A55"/>
  <c r="B35"/>
  <c r="B34"/>
  <c r="B33"/>
  <c r="B19"/>
  <c r="B16"/>
  <c r="B13"/>
  <c r="B10"/>
  <c r="E23" i="56"/>
  <c r="E22"/>
  <c r="E21"/>
  <c r="E20"/>
  <c r="G23"/>
  <c r="G22"/>
  <c r="G21"/>
  <c r="C23"/>
  <c r="C22"/>
  <c r="C21"/>
  <c r="C20"/>
  <c r="G20"/>
  <c r="I17" i="13"/>
  <c r="D16" i="43"/>
  <c r="G9" i="47"/>
  <c r="G8"/>
  <c r="F16"/>
  <c r="E10"/>
  <c r="D31" i="7" s="1"/>
  <c r="G24" i="56" l="1"/>
  <c r="K13" i="13" s="1"/>
  <c r="E24" i="56"/>
  <c r="J13" i="13" s="1"/>
  <c r="G25" i="7" l="1"/>
  <c r="I27" i="58" s="1"/>
  <c r="G31" i="7"/>
  <c r="G57"/>
  <c r="G58"/>
  <c r="I72" i="58" s="1"/>
  <c r="G23" i="7"/>
  <c r="I25" i="58" s="1"/>
  <c r="D11" i="51"/>
  <c r="C58" i="7"/>
  <c r="H11" i="8"/>
  <c r="D11"/>
  <c r="J15" i="47"/>
  <c r="A3"/>
  <c r="F26"/>
  <c r="F25"/>
  <c r="F24"/>
  <c r="F21"/>
  <c r="F20"/>
  <c r="F19"/>
  <c r="E16"/>
  <c r="D16"/>
  <c r="G15"/>
  <c r="J9" s="1"/>
  <c r="G14"/>
  <c r="G13"/>
  <c r="F17"/>
  <c r="E17"/>
  <c r="D10"/>
  <c r="D17" s="1"/>
  <c r="L8"/>
  <c r="L7"/>
  <c r="G7"/>
  <c r="G10" s="1"/>
  <c r="H5"/>
  <c r="D5"/>
  <c r="G5" s="1"/>
  <c r="A1"/>
  <c r="G18" i="8"/>
  <c r="E13" i="39" s="1"/>
  <c r="G31" i="8"/>
  <c r="G35"/>
  <c r="G9"/>
  <c r="J65"/>
  <c r="G62"/>
  <c r="G60"/>
  <c r="G57"/>
  <c r="G56"/>
  <c r="G55"/>
  <c r="G54"/>
  <c r="G53"/>
  <c r="G52"/>
  <c r="G50"/>
  <c r="G49"/>
  <c r="G47"/>
  <c r="G44"/>
  <c r="G42"/>
  <c r="G40"/>
  <c r="G39"/>
  <c r="G38"/>
  <c r="G37"/>
  <c r="G36"/>
  <c r="G34"/>
  <c r="G33"/>
  <c r="G32"/>
  <c r="G25"/>
  <c r="E19" i="39" s="1"/>
  <c r="G17" i="8"/>
  <c r="E12" i="39" s="1"/>
  <c r="G15" i="8"/>
  <c r="E10" i="39" s="1"/>
  <c r="G14" i="8"/>
  <c r="F11"/>
  <c r="F65" s="1"/>
  <c r="E11"/>
  <c r="G10"/>
  <c r="G8"/>
  <c r="H5"/>
  <c r="G5"/>
  <c r="F5"/>
  <c r="E5"/>
  <c r="D5"/>
  <c r="A3"/>
  <c r="A1"/>
  <c r="G9" i="23"/>
  <c r="H5"/>
  <c r="G5"/>
  <c r="F5"/>
  <c r="E5"/>
  <c r="D5"/>
  <c r="A3"/>
  <c r="A1"/>
  <c r="H10" i="15"/>
  <c r="D10"/>
  <c r="G14" i="43"/>
  <c r="G13"/>
  <c r="G11"/>
  <c r="G10"/>
  <c r="G9" i="51"/>
  <c r="G8"/>
  <c r="E9" i="39" l="1"/>
  <c r="E25" s="1"/>
  <c r="G58" i="8"/>
  <c r="E10" i="56"/>
  <c r="E15" s="1"/>
  <c r="J12" i="13" s="1"/>
  <c r="G19" i="23"/>
  <c r="C41" i="7"/>
  <c r="D15" i="15"/>
  <c r="D72" i="7"/>
  <c r="F22" i="47"/>
  <c r="C8" i="59"/>
  <c r="C11"/>
  <c r="C16"/>
  <c r="F16" s="1"/>
  <c r="C19"/>
  <c r="C22"/>
  <c r="F22" s="1"/>
  <c r="C24"/>
  <c r="F24" s="1"/>
  <c r="C26"/>
  <c r="F26" s="1"/>
  <c r="C30"/>
  <c r="C35"/>
  <c r="C17"/>
  <c r="F17" s="1"/>
  <c r="C15"/>
  <c r="F27" i="47"/>
  <c r="C7" i="59"/>
  <c r="C14"/>
  <c r="C18"/>
  <c r="C20"/>
  <c r="C23"/>
  <c r="F23" s="1"/>
  <c r="C25"/>
  <c r="F25" s="1"/>
  <c r="C28"/>
  <c r="C33"/>
  <c r="C21"/>
  <c r="F21" s="1"/>
  <c r="E65" i="8"/>
  <c r="G56" i="7"/>
  <c r="I67" i="58" s="1"/>
  <c r="J59" i="8"/>
  <c r="L10" i="47"/>
  <c r="I33" i="58"/>
  <c r="G72"/>
  <c r="J8" i="47"/>
  <c r="G16"/>
  <c r="E25" i="7" s="1"/>
  <c r="J7" i="47"/>
  <c r="H65" i="8"/>
  <c r="D58"/>
  <c r="G7"/>
  <c r="G11" s="1"/>
  <c r="C36" i="59" l="1"/>
  <c r="F8"/>
  <c r="F15"/>
  <c r="G22" s="1"/>
  <c r="G54" i="7"/>
  <c r="I65" i="58" s="1"/>
  <c r="J10" i="47"/>
  <c r="D65" i="8"/>
  <c r="C56" i="7"/>
  <c r="G17" i="47"/>
  <c r="G65" i="8"/>
  <c r="J11"/>
  <c r="F36" i="59" l="1"/>
  <c r="F37" s="1"/>
  <c r="F39" s="1"/>
  <c r="F56" i="7"/>
  <c r="G67" i="58" s="1"/>
  <c r="K14" i="13"/>
  <c r="K15" s="1"/>
  <c r="H9" i="31" l="1"/>
  <c r="C54" i="7" l="1"/>
  <c r="F54" s="1"/>
  <c r="G10" i="1"/>
  <c r="G41" i="7"/>
  <c r="G40"/>
  <c r="G39"/>
  <c r="M14" i="57"/>
  <c r="L14"/>
  <c r="K14"/>
  <c r="J14"/>
  <c r="I14"/>
  <c r="H14"/>
  <c r="G14"/>
  <c r="F14"/>
  <c r="E14"/>
  <c r="D14"/>
  <c r="C14"/>
  <c r="B14"/>
  <c r="N13"/>
  <c r="N12"/>
  <c r="N11"/>
  <c r="N15" s="1"/>
  <c r="M7"/>
  <c r="L7"/>
  <c r="K7"/>
  <c r="J7"/>
  <c r="I7"/>
  <c r="H7"/>
  <c r="G7"/>
  <c r="F7"/>
  <c r="E7"/>
  <c r="D7"/>
  <c r="C7"/>
  <c r="B7"/>
  <c r="N7" s="1"/>
  <c r="N6"/>
  <c r="N5"/>
  <c r="N4"/>
  <c r="N3"/>
  <c r="A42" i="7"/>
  <c r="A41"/>
  <c r="A40"/>
  <c r="A39"/>
  <c r="A38"/>
  <c r="G10" i="15"/>
  <c r="G9"/>
  <c r="F40" i="7" s="1"/>
  <c r="G8" i="15"/>
  <c r="C39" i="7" s="1"/>
  <c r="F39" s="1"/>
  <c r="G13" i="41"/>
  <c r="I13" s="1"/>
  <c r="G10"/>
  <c r="I10" s="1"/>
  <c r="G8"/>
  <c r="I8" s="1"/>
  <c r="H18" i="44"/>
  <c r="G9" i="7" s="1"/>
  <c r="I10" i="58" s="1"/>
  <c r="D18" i="44"/>
  <c r="C9" i="7" s="1"/>
  <c r="F9" s="1"/>
  <c r="G9" i="44"/>
  <c r="G8" i="43"/>
  <c r="H26" i="42"/>
  <c r="H15" i="45"/>
  <c r="H17" i="41"/>
  <c r="H11"/>
  <c r="H16" i="43"/>
  <c r="G12" i="7" s="1"/>
  <c r="H23" i="46"/>
  <c r="G8" i="44"/>
  <c r="A3" i="56"/>
  <c r="G16" i="46"/>
  <c r="G15"/>
  <c r="G14"/>
  <c r="G13"/>
  <c r="G12"/>
  <c r="G11"/>
  <c r="G10"/>
  <c r="G7" i="55"/>
  <c r="H11"/>
  <c r="G27" i="7" s="1"/>
  <c r="F11" i="55"/>
  <c r="E27" i="7" s="1"/>
  <c r="E11" i="55"/>
  <c r="D27" i="7" s="1"/>
  <c r="D11" i="55"/>
  <c r="C27" i="7" s="1"/>
  <c r="G10" i="55"/>
  <c r="G9"/>
  <c r="G8"/>
  <c r="G11"/>
  <c r="H5"/>
  <c r="G5"/>
  <c r="F5"/>
  <c r="E5"/>
  <c r="D5"/>
  <c r="A3"/>
  <c r="A1"/>
  <c r="H11" i="54"/>
  <c r="G26" i="7" s="1"/>
  <c r="F11" i="54"/>
  <c r="E26" i="7" s="1"/>
  <c r="E11" i="54"/>
  <c r="D26" i="7" s="1"/>
  <c r="D11" i="54"/>
  <c r="C26" i="7" s="1"/>
  <c r="G10" i="54"/>
  <c r="G9"/>
  <c r="G8"/>
  <c r="G7"/>
  <c r="H5"/>
  <c r="G5"/>
  <c r="F5"/>
  <c r="E5"/>
  <c r="D5"/>
  <c r="A3"/>
  <c r="A1"/>
  <c r="H11" i="53"/>
  <c r="F11"/>
  <c r="E11"/>
  <c r="D11"/>
  <c r="G10"/>
  <c r="G9"/>
  <c r="G8"/>
  <c r="G7"/>
  <c r="G11" s="1"/>
  <c r="H5"/>
  <c r="G5"/>
  <c r="F5"/>
  <c r="E5"/>
  <c r="D5"/>
  <c r="A3"/>
  <c r="A1"/>
  <c r="H11" i="52"/>
  <c r="F11"/>
  <c r="E11"/>
  <c r="D11"/>
  <c r="C23" i="7" s="1"/>
  <c r="F23" s="1"/>
  <c r="G25" i="58" s="1"/>
  <c r="G10" i="52"/>
  <c r="G9"/>
  <c r="G8"/>
  <c r="H5"/>
  <c r="G5"/>
  <c r="F5"/>
  <c r="E5"/>
  <c r="D5"/>
  <c r="A3"/>
  <c r="A1"/>
  <c r="H11" i="51"/>
  <c r="G11" i="7" s="1"/>
  <c r="C11"/>
  <c r="F11" s="1"/>
  <c r="G7" i="51"/>
  <c r="G11" s="1"/>
  <c r="H5"/>
  <c r="G5"/>
  <c r="F5"/>
  <c r="E5"/>
  <c r="D5"/>
  <c r="A3"/>
  <c r="A1"/>
  <c r="H10" i="50"/>
  <c r="G10" i="7" s="1"/>
  <c r="I11" i="58" s="1"/>
  <c r="D10" i="50"/>
  <c r="C10" i="7" s="1"/>
  <c r="F10" s="1"/>
  <c r="G7" i="50"/>
  <c r="G10" s="1"/>
  <c r="H5"/>
  <c r="G5"/>
  <c r="F5"/>
  <c r="E5"/>
  <c r="D5"/>
  <c r="A3"/>
  <c r="A1"/>
  <c r="H10" i="9"/>
  <c r="G51" i="7" s="1"/>
  <c r="H17" i="35"/>
  <c r="G28" i="7" s="1"/>
  <c r="G42"/>
  <c r="G15"/>
  <c r="G9" i="43"/>
  <c r="D17" i="35"/>
  <c r="D11" i="41"/>
  <c r="F10" i="9"/>
  <c r="E10"/>
  <c r="D10"/>
  <c r="C51" i="7" s="1"/>
  <c r="D52"/>
  <c r="E51"/>
  <c r="E52" s="1"/>
  <c r="G7" i="43"/>
  <c r="F16"/>
  <c r="E12" i="7" s="1"/>
  <c r="E16" i="43"/>
  <c r="D12" i="7" s="1"/>
  <c r="C12"/>
  <c r="A1" i="44"/>
  <c r="G11" i="15"/>
  <c r="C42" i="7" s="1"/>
  <c r="F42" s="1"/>
  <c r="G33"/>
  <c r="F11" i="49"/>
  <c r="E11"/>
  <c r="C33" i="7"/>
  <c r="F33" s="1"/>
  <c r="G35" i="58" s="1"/>
  <c r="G9" i="49"/>
  <c r="G11" s="1"/>
  <c r="H5"/>
  <c r="G5"/>
  <c r="F5"/>
  <c r="E5"/>
  <c r="D5"/>
  <c r="A3"/>
  <c r="A1"/>
  <c r="D9" i="31"/>
  <c r="E11" i="41"/>
  <c r="F11"/>
  <c r="E17"/>
  <c r="F17"/>
  <c r="D17"/>
  <c r="E12" i="1"/>
  <c r="D8" i="7" s="1"/>
  <c r="F12" i="1"/>
  <c r="E8" i="7" s="1"/>
  <c r="G9" i="1"/>
  <c r="E17" i="35"/>
  <c r="F17"/>
  <c r="D15" i="45"/>
  <c r="C18" i="7" s="1"/>
  <c r="G17" i="35"/>
  <c r="E15" i="45"/>
  <c r="D18" i="7" s="1"/>
  <c r="F15" i="45"/>
  <c r="G18" i="7"/>
  <c r="G8" i="45"/>
  <c r="G15" i="43"/>
  <c r="I12" i="41"/>
  <c r="G14" i="13"/>
  <c r="G8" i="31"/>
  <c r="A27" i="17"/>
  <c r="A26"/>
  <c r="E19" i="7"/>
  <c r="H8" i="48"/>
  <c r="F8"/>
  <c r="E8"/>
  <c r="D8"/>
  <c r="C32" i="7" s="1"/>
  <c r="F32" s="1"/>
  <c r="G7" i="48"/>
  <c r="G8" s="1"/>
  <c r="H5"/>
  <c r="G5"/>
  <c r="F5"/>
  <c r="E5"/>
  <c r="D5"/>
  <c r="A3"/>
  <c r="A1"/>
  <c r="E31" i="7"/>
  <c r="E34" s="1"/>
  <c r="D34"/>
  <c r="D25"/>
  <c r="C25"/>
  <c r="F57"/>
  <c r="G70" i="58" s="1"/>
  <c r="J14" i="13"/>
  <c r="J15" s="1"/>
  <c r="G24" i="7"/>
  <c r="F23" i="46"/>
  <c r="E24" i="7" s="1"/>
  <c r="E23" i="46"/>
  <c r="D23"/>
  <c r="C24" i="7" s="1"/>
  <c r="G22" i="46"/>
  <c r="G21"/>
  <c r="G20"/>
  <c r="G8"/>
  <c r="H5"/>
  <c r="G5"/>
  <c r="F5"/>
  <c r="E5"/>
  <c r="D5"/>
  <c r="A3"/>
  <c r="A1"/>
  <c r="G14" i="45"/>
  <c r="G7"/>
  <c r="H5"/>
  <c r="G5"/>
  <c r="F5"/>
  <c r="E5"/>
  <c r="D5"/>
  <c r="A3"/>
  <c r="A1"/>
  <c r="C28" i="7"/>
  <c r="G8" i="1"/>
  <c r="F58" i="7"/>
  <c r="G19" i="13" s="1"/>
  <c r="G7" i="44"/>
  <c r="H5" i="43"/>
  <c r="G5"/>
  <c r="F5"/>
  <c r="E5"/>
  <c r="D5"/>
  <c r="A3"/>
  <c r="A1"/>
  <c r="I19" i="13"/>
  <c r="A3" i="39"/>
  <c r="G5" i="7"/>
  <c r="D5"/>
  <c r="E5"/>
  <c r="F5"/>
  <c r="C5"/>
  <c r="H5" i="9"/>
  <c r="G5"/>
  <c r="F5"/>
  <c r="E5"/>
  <c r="D5"/>
  <c r="H5" i="31"/>
  <c r="G5"/>
  <c r="F5"/>
  <c r="E5"/>
  <c r="D5"/>
  <c r="H5" i="15"/>
  <c r="G5"/>
  <c r="F5"/>
  <c r="E5"/>
  <c r="D5"/>
  <c r="H5" i="35"/>
  <c r="G5"/>
  <c r="F5"/>
  <c r="E5"/>
  <c r="D5"/>
  <c r="H5" i="41"/>
  <c r="G5"/>
  <c r="F5"/>
  <c r="E5"/>
  <c r="D5"/>
  <c r="E5" i="34"/>
  <c r="F5"/>
  <c r="G5"/>
  <c r="H5"/>
  <c r="D5"/>
  <c r="G7" i="1"/>
  <c r="A1" i="34"/>
  <c r="A3"/>
  <c r="G7"/>
  <c r="G9" s="1"/>
  <c r="D9"/>
  <c r="C15" i="7" s="1"/>
  <c r="H9" i="34"/>
  <c r="A3" i="41"/>
  <c r="G7"/>
  <c r="F18"/>
  <c r="A1" i="35"/>
  <c r="A3"/>
  <c r="A1" i="15"/>
  <c r="A3"/>
  <c r="G7"/>
  <c r="F38" i="7" s="1"/>
  <c r="G12" i="15"/>
  <c r="G13"/>
  <c r="H15"/>
  <c r="A1" i="31"/>
  <c r="A3"/>
  <c r="G7"/>
  <c r="G9" s="1"/>
  <c r="C50" i="7"/>
  <c r="G50"/>
  <c r="A1" i="9"/>
  <c r="A3"/>
  <c r="G7"/>
  <c r="G10" s="1"/>
  <c r="A1" i="7"/>
  <c r="A3"/>
  <c r="C8"/>
  <c r="G8"/>
  <c r="G38"/>
  <c r="C43"/>
  <c r="D8" i="17" s="1"/>
  <c r="G43" i="7"/>
  <c r="C44"/>
  <c r="F44" s="1"/>
  <c r="G44"/>
  <c r="F8" i="17" s="1"/>
  <c r="D77" i="7"/>
  <c r="A1" i="17"/>
  <c r="A3"/>
  <c r="D9"/>
  <c r="A1" i="32"/>
  <c r="A3"/>
  <c r="F15"/>
  <c r="G15"/>
  <c r="F25" i="39"/>
  <c r="I14" i="13"/>
  <c r="C55" i="7"/>
  <c r="F55" s="1"/>
  <c r="G66" i="58" s="1"/>
  <c r="C31" i="7"/>
  <c r="F31" s="1"/>
  <c r="F50"/>
  <c r="G61" i="58" s="1"/>
  <c r="G11" i="52" l="1"/>
  <c r="F41" i="7"/>
  <c r="G15" i="15"/>
  <c r="F27" i="7"/>
  <c r="E29"/>
  <c r="G17" i="41"/>
  <c r="F8" i="7"/>
  <c r="G9" i="58" s="1"/>
  <c r="D29" i="7"/>
  <c r="H18" i="41"/>
  <c r="G16" i="7" s="1"/>
  <c r="F26"/>
  <c r="G34" i="58" s="1"/>
  <c r="I27" i="42"/>
  <c r="I17" i="41"/>
  <c r="G23" i="46"/>
  <c r="E18" i="41"/>
  <c r="D16" i="7" s="1"/>
  <c r="D19" s="1"/>
  <c r="D18" i="41"/>
  <c r="C16" i="7" s="1"/>
  <c r="G12" i="1"/>
  <c r="G16" i="43"/>
  <c r="G11" i="54"/>
  <c r="N8" i="57"/>
  <c r="N14"/>
  <c r="G11" i="41"/>
  <c r="G18" s="1"/>
  <c r="I7"/>
  <c r="G15" i="45"/>
  <c r="G16" i="58"/>
  <c r="E13" i="7"/>
  <c r="E20" s="1"/>
  <c r="I16" i="58"/>
  <c r="I30"/>
  <c r="G29"/>
  <c r="F25" i="7"/>
  <c r="G11" i="58"/>
  <c r="F51" i="7"/>
  <c r="G9" i="13" s="1"/>
  <c r="I29" i="58"/>
  <c r="I41"/>
  <c r="I40"/>
  <c r="G41"/>
  <c r="G40"/>
  <c r="F28" i="7"/>
  <c r="G30" i="58" s="1"/>
  <c r="C29" i="7"/>
  <c r="F18"/>
  <c r="G19" i="58" s="1"/>
  <c r="I35"/>
  <c r="G34" i="7"/>
  <c r="C52"/>
  <c r="G12" i="58"/>
  <c r="I9" i="13"/>
  <c r="I62" i="58"/>
  <c r="I8" i="13"/>
  <c r="I10" s="1"/>
  <c r="I61" i="58"/>
  <c r="G33"/>
  <c r="I34"/>
  <c r="I26"/>
  <c r="G29" i="7"/>
  <c r="I19" i="58"/>
  <c r="I17"/>
  <c r="I12"/>
  <c r="I9"/>
  <c r="G12" i="13"/>
  <c r="G65" i="58"/>
  <c r="G68" s="1"/>
  <c r="I13"/>
  <c r="G10"/>
  <c r="I12" i="13"/>
  <c r="F43" i="7"/>
  <c r="G55"/>
  <c r="G59" s="1"/>
  <c r="G18" i="44"/>
  <c r="F24" i="7"/>
  <c r="G26" i="58" s="1"/>
  <c r="G8" i="13"/>
  <c r="G17"/>
  <c r="D10" i="17"/>
  <c r="H8"/>
  <c r="G13" i="13"/>
  <c r="F59" i="7"/>
  <c r="C59"/>
  <c r="G52"/>
  <c r="G13"/>
  <c r="C34"/>
  <c r="C13"/>
  <c r="D13"/>
  <c r="F12"/>
  <c r="G13" i="58" s="1"/>
  <c r="F15" i="7"/>
  <c r="F34"/>
  <c r="I31" i="58" l="1"/>
  <c r="G19" i="7"/>
  <c r="G20" s="1"/>
  <c r="F16"/>
  <c r="D20"/>
  <c r="G62" i="58"/>
  <c r="G63" s="1"/>
  <c r="G69" s="1"/>
  <c r="G71" s="1"/>
  <c r="G73" s="1"/>
  <c r="G36"/>
  <c r="I11" i="41"/>
  <c r="C19" i="7"/>
  <c r="C20" s="1"/>
  <c r="G27" i="58"/>
  <c r="G31" s="1"/>
  <c r="F19" i="7"/>
  <c r="F52"/>
  <c r="F60" s="1"/>
  <c r="G10" i="13"/>
  <c r="F29" i="7"/>
  <c r="F35" s="1"/>
  <c r="I63" i="58"/>
  <c r="C60" i="7"/>
  <c r="D62" s="1"/>
  <c r="I36" i="58"/>
  <c r="G15" i="13"/>
  <c r="J16" s="1"/>
  <c r="I13"/>
  <c r="I15" s="1"/>
  <c r="I66" i="58"/>
  <c r="I68" s="1"/>
  <c r="I20"/>
  <c r="I14"/>
  <c r="G14"/>
  <c r="C35" i="7"/>
  <c r="G35"/>
  <c r="G60"/>
  <c r="G45" s="1"/>
  <c r="F13"/>
  <c r="I37" i="58" l="1"/>
  <c r="G17"/>
  <c r="G20" s="1"/>
  <c r="G21" s="1"/>
  <c r="C45" i="7"/>
  <c r="C46" s="1"/>
  <c r="C47" s="1"/>
  <c r="C48" s="1"/>
  <c r="G37" i="58"/>
  <c r="I16" i="13"/>
  <c r="I18" s="1"/>
  <c r="I20" s="1"/>
  <c r="F9" i="17" s="1"/>
  <c r="H9" s="1"/>
  <c r="H10" s="1"/>
  <c r="K16" i="13"/>
  <c r="F20" i="7"/>
  <c r="G16" i="13"/>
  <c r="G18" s="1"/>
  <c r="G20" s="1"/>
  <c r="F45" i="7"/>
  <c r="G42" i="58" s="1"/>
  <c r="G43" s="1"/>
  <c r="D64" i="7"/>
  <c r="K7" i="42" s="1"/>
  <c r="K16" s="1"/>
  <c r="H21" s="1"/>
  <c r="I69" i="58"/>
  <c r="I71" s="1"/>
  <c r="I73" s="1"/>
  <c r="I21"/>
  <c r="I42"/>
  <c r="I43" s="1"/>
  <c r="I44" s="1"/>
  <c r="G46" i="7"/>
  <c r="G47" s="1"/>
  <c r="G48" s="1"/>
  <c r="H46"/>
  <c r="G44" i="58" l="1"/>
  <c r="J44" s="1"/>
  <c r="F46" i="7"/>
  <c r="F47" s="1"/>
  <c r="F48" s="1"/>
  <c r="F10" i="17"/>
  <c r="B22" i="42"/>
  <c r="I22"/>
  <c r="D73" i="7"/>
  <c r="D75" s="1"/>
  <c r="K44" i="58"/>
  <c r="H48" i="7"/>
  <c r="J10" i="17"/>
  <c r="I21" i="42"/>
  <c r="D78" i="7" l="1"/>
  <c r="E78" s="1"/>
  <c r="H24" i="42"/>
  <c r="I24"/>
  <c r="I28" s="1"/>
</calcChain>
</file>

<file path=xl/sharedStrings.xml><?xml version="1.0" encoding="utf-8"?>
<sst xmlns="http://schemas.openxmlformats.org/spreadsheetml/2006/main" count="742" uniqueCount="323">
  <si>
    <t>Discription</t>
  </si>
  <si>
    <t>Ref</t>
  </si>
  <si>
    <t>Per Book</t>
  </si>
  <si>
    <t>Adjust &amp; Reclassify</t>
  </si>
  <si>
    <t>Per Audit</t>
  </si>
  <si>
    <t>Dr</t>
  </si>
  <si>
    <t>Cr</t>
  </si>
  <si>
    <t xml:space="preserve">เอกสารลำดับที่ </t>
  </si>
  <si>
    <t xml:space="preserve">จัดทำโดย </t>
  </si>
  <si>
    <t>วันที่</t>
  </si>
  <si>
    <t>สอบทานโดย</t>
  </si>
  <si>
    <t>C1</t>
  </si>
  <si>
    <t>C2</t>
  </si>
  <si>
    <t>C3</t>
  </si>
  <si>
    <t>C4</t>
  </si>
  <si>
    <t>รายได้</t>
  </si>
  <si>
    <t>ภาษีเงินได้</t>
  </si>
  <si>
    <t>เรื่อง WPS&amp;WPL</t>
  </si>
  <si>
    <t>code</t>
  </si>
  <si>
    <t>รวมสินทรัพย์หมุนเวียน</t>
  </si>
  <si>
    <t>สินทรัพย์หมุนเวียน</t>
  </si>
  <si>
    <t>สินทรัพย์</t>
  </si>
  <si>
    <t>หนี้สินหมุนเวียน</t>
  </si>
  <si>
    <t>หนี้สินและส่วนของผู้เป็นหุ้นส่วน</t>
  </si>
  <si>
    <t>รวมสินทรัพย์</t>
  </si>
  <si>
    <t>รวมหนี้สิน</t>
  </si>
  <si>
    <t>รวมรายได้</t>
  </si>
  <si>
    <t>ค่าใช้จ่าย</t>
  </si>
  <si>
    <t>รวมค่าใช้จ่าย</t>
  </si>
  <si>
    <t>wps $ wpl</t>
  </si>
  <si>
    <t>C7</t>
  </si>
  <si>
    <t>หน่วย : บาท</t>
  </si>
  <si>
    <t>หมายเหตุ</t>
  </si>
  <si>
    <t>งบกำไรขาดทุน</t>
  </si>
  <si>
    <t>ส่วนของผู้ถือหุ้น</t>
  </si>
  <si>
    <t>ทุนที่ออกและเรียกชำระแล้ว</t>
  </si>
  <si>
    <t>กำไรขาดทุนสะสมยังไม่ได้จัดสรร</t>
  </si>
  <si>
    <t>รวมส่วนของผู้ถือหุ้น</t>
  </si>
  <si>
    <t>รวมหนี้สินและส่วนของผู้ถือหุ้น</t>
  </si>
  <si>
    <t>รวมหนี้สินหมุนเวียน</t>
  </si>
  <si>
    <t>งบแสดงการเปลี่ยนแปลงส่วนของผู้ถือหุ้น</t>
  </si>
  <si>
    <t>ยังไม่ได้จัดสรร</t>
  </si>
  <si>
    <t>รวม</t>
  </si>
  <si>
    <t>ทุนเรือนหุ้นที่ออก</t>
  </si>
  <si>
    <t>และชำระแล้ว</t>
  </si>
  <si>
    <t>หนี้สินหมุนเวียนอื่น</t>
  </si>
  <si>
    <t>รายได้อื่น</t>
  </si>
  <si>
    <t>กำไร(ขาดทุน)สะสม</t>
  </si>
  <si>
    <t>year</t>
  </si>
  <si>
    <t>เรื่อง ส่วนของผู้ถือหุ้น</t>
  </si>
  <si>
    <t>.</t>
  </si>
  <si>
    <t>กำไร(ขาดทุน)ระหว่างงวด</t>
  </si>
  <si>
    <t>ขอรับรองว่าถูกต้อง</t>
  </si>
  <si>
    <t>C9</t>
  </si>
  <si>
    <t>C10</t>
  </si>
  <si>
    <t>เรื่อง หนี้สินหมุนเวียนอื่น</t>
  </si>
  <si>
    <t>C11</t>
  </si>
  <si>
    <t>เรื่อง รายได้อื่น</t>
  </si>
  <si>
    <t>เงินสดและเงินฝากสถาบันการเงิน</t>
  </si>
  <si>
    <t>เรื่อง เงินสดและเงินฝากสถาบันการเงิน</t>
  </si>
  <si>
    <t>ทุนที่ออกและเรียกชำระ</t>
  </si>
  <si>
    <t>ลำดับที่</t>
  </si>
  <si>
    <t>รายการ</t>
  </si>
  <si>
    <t>อ้างอิง</t>
  </si>
  <si>
    <t>เดบิท</t>
  </si>
  <si>
    <t>เครดิท</t>
  </si>
  <si>
    <t>ภาษีเงินได้นิติบุคคล</t>
  </si>
  <si>
    <t>กำไรสุทธิสำหรับปี</t>
  </si>
  <si>
    <t>กำไรสุทธิ</t>
  </si>
  <si>
    <t>รายได้จากการขายและบริการ</t>
  </si>
  <si>
    <t>กำไรสุทธิทางบัญชี</t>
  </si>
  <si>
    <t>หัก  ภ.ง.ด. 51</t>
  </si>
  <si>
    <t xml:space="preserve">       ภาษีเงินได้ถูกหัก ณ ที่จ่าย</t>
  </si>
  <si>
    <t>ภาษีที่ต้องชำระ</t>
  </si>
  <si>
    <t xml:space="preserve">รายละเอียดประกอบงบการเงิน </t>
  </si>
  <si>
    <t>ประกอบด้วย:</t>
  </si>
  <si>
    <t xml:space="preserve"> ขอรับรองว่าถูกต้อง      </t>
  </si>
  <si>
    <t>เรื่อง ต้นทุนขาย</t>
  </si>
  <si>
    <t>เรื่อง ค่าใช้จ่ายในการขายและบริหาร</t>
  </si>
  <si>
    <t>ราคาทุน</t>
  </si>
  <si>
    <t>ค่าเสื่อมราคาสะสม</t>
  </si>
  <si>
    <t>C8</t>
  </si>
  <si>
    <t>บวก</t>
  </si>
  <si>
    <t>ค่าใช้จ่ายไม่ถือเป็นรายจ่าย :-</t>
  </si>
  <si>
    <t>กำไร (ขาดทุน) สุทธิทางภาษี</t>
  </si>
  <si>
    <t>อัตราภาษี</t>
  </si>
  <si>
    <t>อัตราภาษีร้อยละ</t>
  </si>
  <si>
    <t>ฐานคำนวณภาษี</t>
  </si>
  <si>
    <t>ภาษี</t>
  </si>
  <si>
    <t>3,000,001 บาทขึ้นไป</t>
  </si>
  <si>
    <t>หัก</t>
  </si>
  <si>
    <t>ภาษีเงินได้นิติบุคคลจ่ายล่วงหน้า</t>
  </si>
  <si>
    <t>สินทรัพย์ไม่หมุนเวียน</t>
  </si>
  <si>
    <t>รวมสินทรัพย์ไม่หมุนเวียน</t>
  </si>
  <si>
    <t>เรื่อง  อุปกรณ์  - สุทธิ</t>
  </si>
  <si>
    <t>อุปกรณ์  - สุทธิ</t>
  </si>
  <si>
    <t>เรื่อง รายได้จากการบริการ</t>
  </si>
  <si>
    <t>ค่าใช้จ่ายในการบริการ</t>
  </si>
  <si>
    <t>ค่าใช้จ่ายในการบริหาร</t>
  </si>
  <si>
    <t>ต้นทุนทางการเงิน</t>
  </si>
  <si>
    <t>สินทรัพย์หมุนเวียนอื่น</t>
  </si>
  <si>
    <t>เรื่อง สินทรัพย์หมุนเวียนอื่น</t>
  </si>
  <si>
    <t>เงินสดและรายการเทียบเท่าเงินสด</t>
  </si>
  <si>
    <t>C3.1</t>
  </si>
  <si>
    <t>เรื่อง สินทรัพย์ไม่หมุนเวียนอื่น</t>
  </si>
  <si>
    <t>C4.0</t>
  </si>
  <si>
    <t>ค่าเครื่องเขียนแบบพิมพ์</t>
  </si>
  <si>
    <t>C5</t>
  </si>
  <si>
    <t>เรื่อง เจ้าหนี้ตามสัญญาเช่าซื้อ</t>
  </si>
  <si>
    <t>เจ้าหนี้ตามสัญญาเช่าซื้อ</t>
  </si>
  <si>
    <t>ดอกเบี้ยเช่าซื้อรอตัดบัญชี</t>
  </si>
  <si>
    <t>เจ้าหนี้ตามสัญญาเช่าซื้อ-สุทธิ</t>
  </si>
  <si>
    <t>เจ้าหนี้ตามสัญญาเช่าซื้อส่วนที่ครบกำหนดชำระภายใน 1 ปี</t>
  </si>
  <si>
    <t>ภาษีซื้อรอตัดบัญชี</t>
  </si>
  <si>
    <t>หนี้สินไม่หมุนเวียน</t>
  </si>
  <si>
    <t>ส่วนของเจ้าหนี้เช่าซื้อที่ครบกำหนดชำระภายในหนึ่งปี</t>
  </si>
  <si>
    <t>รวมหนี้สินไม่หมุนเวียน</t>
  </si>
  <si>
    <t>เงินกู้ยืมระยะยาวจากบุคคลที่เกี่ยวข้องกัน</t>
  </si>
  <si>
    <t>เรื่อง เงินกู้ยืมระยะยาวจากบุคคลที่เกี่ยวข้องกัน</t>
  </si>
  <si>
    <t>สินทรัพย์ไม่หมุนเวียนอื่น</t>
  </si>
  <si>
    <t>ขาดทุนสุทธิ</t>
  </si>
  <si>
    <t>ขาดทุนสะสม</t>
  </si>
  <si>
    <t>รายจ่ายต้องห้าม</t>
  </si>
  <si>
    <t>ยอดคงเหลือปลายงวด ณ วันที่ 31 ธันวาคม 2552</t>
  </si>
  <si>
    <t>รายได้จากการขาย</t>
  </si>
  <si>
    <t>ค่ารับรอง</t>
  </si>
  <si>
    <t>ค่าใช้จ่ายเบ็ดเตล็ด</t>
  </si>
  <si>
    <t>ยอด ณ วันที่ 19 มีนาคม 2552</t>
  </si>
  <si>
    <t>เงินสด</t>
  </si>
  <si>
    <t>เรื่อง หนี้สินไม่หมุนเวียนอื่น</t>
  </si>
  <si>
    <t>หนี้สินไม่หมุนเวียนอื่น</t>
  </si>
  <si>
    <t>ส่วนของผู้เป็นหุ้นส่วน</t>
  </si>
  <si>
    <t>ทุนของผู้เป็นหุ้นส่วนแต่ละคน</t>
  </si>
  <si>
    <t xml:space="preserve">        </t>
  </si>
  <si>
    <t>กำไรสะสมยังไม่ได้แบ่ง</t>
  </si>
  <si>
    <t>รวมส่วนของผู้เป็นหุ้นส่วน</t>
  </si>
  <si>
    <t>รวมหนี้สินและส่วนของผู้เป็นหุ้นส่วน</t>
  </si>
  <si>
    <t>กำไรก่อนภาษีเงินได้</t>
  </si>
  <si>
    <t>ลูกค้า ห้างหุ้นส่วนจำกัด ดีดี พลัส ซัพพลาย</t>
  </si>
  <si>
    <t>ภาษีเงินได้ค้างจ่าย</t>
  </si>
  <si>
    <t>เรื่อง เจ้าหนี้การค้าและเจ้าหนี้อื่น</t>
  </si>
  <si>
    <t>เจ้าหนี้การค้าและเจ้าหนี้อื่น</t>
  </si>
  <si>
    <t>งบแสดงฐานะการเงิน</t>
  </si>
  <si>
    <t>เรื่อง เงินให้กู้ยืมระยะสั้น</t>
  </si>
  <si>
    <t>เรื่อง สินค้าคงเหลือ</t>
  </si>
  <si>
    <t>เรื่อง เงินให้กู้ยืมระยะยาว</t>
  </si>
  <si>
    <t>เรื่อง เงินเบิกเกินบัญชีและเงินกู้ยืมระยะสั้นจากสถาบันการเงิน</t>
  </si>
  <si>
    <t>เรื่อง ส่วนของหนี้สินระยะยาวที่ถึงกำหนดชำระภายในหนึ่งปี</t>
  </si>
  <si>
    <t>เรื่อง เงินกู้ยืมระยะสั้น</t>
  </si>
  <si>
    <t>เรื่อง ภาษีเงินได้ค้างจ่าย</t>
  </si>
  <si>
    <t>เงินให้กู้ยืมระยะสั้น</t>
  </si>
  <si>
    <t>สินค้าคงเหลือ</t>
  </si>
  <si>
    <t>เงินให้กู้ยืมระยะยาว</t>
  </si>
  <si>
    <t>C1.1</t>
  </si>
  <si>
    <t>C1.3</t>
  </si>
  <si>
    <t>C1.4</t>
  </si>
  <si>
    <t>C1.5</t>
  </si>
  <si>
    <t>C1.6</t>
  </si>
  <si>
    <t>C2.6</t>
  </si>
  <si>
    <t>C2.9</t>
  </si>
  <si>
    <t>C2.12</t>
  </si>
  <si>
    <t>เงินเบิกเกินบัญชีและเงินกู้ยืมระยะสั้นจากสถาบันการเงิน</t>
  </si>
  <si>
    <t>C3.2</t>
  </si>
  <si>
    <t>C3.3</t>
  </si>
  <si>
    <t>เงินกู้ยืมระยะสั้น</t>
  </si>
  <si>
    <t>C3.4</t>
  </si>
  <si>
    <t>C3.5</t>
  </si>
  <si>
    <t>C3.7</t>
  </si>
  <si>
    <t>เงินกู้ยืมระยะยาว</t>
  </si>
  <si>
    <t>C4.1</t>
  </si>
  <si>
    <t>ส่วนของเจ้าหนี้เช่าซื้อที่ครบกำหนดชำระเกินหนึ่งปี</t>
  </si>
  <si>
    <t>C4.5</t>
  </si>
  <si>
    <t>เรื่อง ลูกหนี้การค้าและลูกหนี้อื่น</t>
  </si>
  <si>
    <t>เงินเบิกเกินบัญชี</t>
  </si>
  <si>
    <t>2132-02</t>
  </si>
  <si>
    <t>ส่วนของหนี้สินระยะยาวที่ถึงกำหนดชำระภายในหนึ่งปี</t>
  </si>
  <si>
    <t>สำหรับปีสิ้นสุดวันที่ 31 ธันวาคม 2554 และ 2553</t>
  </si>
  <si>
    <t>รายละเอียดประกอบงบการเงิน</t>
  </si>
  <si>
    <t>รายละเอียดประกอบงบการเงิน (ต่อ)</t>
  </si>
  <si>
    <t>1151-02</t>
  </si>
  <si>
    <t>ภาษีเงินได้นิติบุคคลถูกหัก ณ ที่จ่าย</t>
  </si>
  <si>
    <t>1156-00</t>
  </si>
  <si>
    <t>1210-00</t>
  </si>
  <si>
    <t xml:space="preserve">       ภาษีเงินได้นิติบุคคลที่ต้องชำระ (ชำระเกิน)</t>
  </si>
  <si>
    <t>1155-00</t>
  </si>
  <si>
    <t>ค่าใช้จ่ายค้างจ่ายอื่น</t>
  </si>
  <si>
    <t>ม.ค.</t>
  </si>
  <si>
    <t>ก.พ</t>
  </si>
  <si>
    <t>มี.ค</t>
  </si>
  <si>
    <t>เม.ย</t>
  </si>
  <si>
    <t>พ.ค</t>
  </si>
  <si>
    <t>มิ.ย</t>
  </si>
  <si>
    <t>ก.ค</t>
  </si>
  <si>
    <t>ส.ค</t>
  </si>
  <si>
    <t>ก.ย.</t>
  </si>
  <si>
    <t>ต.ค</t>
  </si>
  <si>
    <t>พ.ย</t>
  </si>
  <si>
    <t>ธค</t>
  </si>
  <si>
    <t>ประคอง</t>
  </si>
  <si>
    <t>วราภรณ์</t>
  </si>
  <si>
    <t>กรวรรณ</t>
  </si>
  <si>
    <t>OT</t>
  </si>
  <si>
    <t>เบี้ยขยัน</t>
  </si>
  <si>
    <t>3.3 และ 4</t>
  </si>
  <si>
    <t>กำไร(ขาดทุน)ก่อนต้นทุนทางการเงินและค่าใช้จ่ายภาษีเงินได้</t>
  </si>
  <si>
    <t>ค่าใช้จ่ายภาษีเงินได้</t>
  </si>
  <si>
    <t>ต้นทุนขายและบริการ</t>
  </si>
  <si>
    <t>เงินให้กู้ยืมระยะสั้นแก่บุคคลที่เกี่ยวข้อง</t>
  </si>
  <si>
    <t>วัตถุดิบคงเหลือ</t>
  </si>
  <si>
    <t>งานระหว่างทำคงเหลือ</t>
  </si>
  <si>
    <t>เงินมัดจำ</t>
  </si>
  <si>
    <t>ภาษีซื้อ-ยังไม่ถึงกำหนด</t>
  </si>
  <si>
    <t>ค่าเบี้ยประกันภัยจ่ายล่วงหน้า</t>
  </si>
  <si>
    <t>ภาษีนิติบุคคลถูกหัก ณ ที่จ่าย</t>
  </si>
  <si>
    <t>เงินประกันผลงาน</t>
  </si>
  <si>
    <t>ดอกเบี้ยรอตัดบัญชี</t>
  </si>
  <si>
    <t>รายได้จากการให้บริการ</t>
  </si>
  <si>
    <t>ค่าคอมมิชชั่น</t>
  </si>
  <si>
    <t>ค่าโฆษณา</t>
  </si>
  <si>
    <t>ส่งเสริมการขาย</t>
  </si>
  <si>
    <t>3.4 และ 6</t>
  </si>
  <si>
    <t>(หน่วย : บาท)</t>
  </si>
  <si>
    <t>ค่าบริจาคการกุศล</t>
  </si>
  <si>
    <t>ดอกเบี้ยค้างรับ</t>
  </si>
  <si>
    <t>2131-10</t>
  </si>
  <si>
    <t>เครื่องใช้สำนักงาน</t>
  </si>
  <si>
    <t>ค่าสอบบัญชี</t>
  </si>
  <si>
    <t>ค่าธรรมเนียม</t>
  </si>
  <si>
    <t xml:space="preserve">ยานพาหนะและอุปกรณ์  </t>
  </si>
  <si>
    <t>เจ้าหนี้อื่น</t>
  </si>
  <si>
    <t>ต้นทุนบริการ</t>
  </si>
  <si>
    <t>ทุน-นาย</t>
  </si>
  <si>
    <t>ทุน-นาง</t>
  </si>
  <si>
    <t>รายจ่ายเกี่ยวกับพนักงาน</t>
  </si>
  <si>
    <t>เรียน</t>
  </si>
  <si>
    <t>คุณต้อม</t>
  </si>
  <si>
    <t>งบการเงินปี 2554  สำนักงานบัญชีและผู้สอบ มีความประสงค์ขอ revise งบการเงิน</t>
  </si>
  <si>
    <t>เนื่องจากมีข้อผิดพลาดรายการค่าเสื่อมราคา และ ค่าน้ำมัน  โดยค่าใช้จ่ายดังกล่าว</t>
  </si>
  <si>
    <t xml:space="preserve">จำนวน 6,868,474.21  บาท เป็นค่าน้ำมัน แต่ไปอยู่ใน รายการค่าเสื่อมราคา </t>
  </si>
  <si>
    <t>จึงมีผลทำให้ค่าเสื่อมราคาสะสมสูงกว่าความเป็นจริง และกำไรสะสม ต่ำกว่าความเป็นจริง</t>
  </si>
  <si>
    <t>รายการดังกล่าวไม่กระทบกำไรสุทธิ (ระหว่างปี 2554)</t>
  </si>
  <si>
    <t>หากพี่ต้อมพิจารณาเห็นสมควรแล้ว จะนำงบชุดใหม่ เข้าไปให้เซ็น ในวันที่ 2 พ.ค.57 นี้ค่ะ</t>
  </si>
  <si>
    <t>ณัฐวรรณ  ทองเชื้อ</t>
  </si>
  <si>
    <t>และจะดำเนินการยื่นงบให้แล้วเสร็จภายในวันที่ 6 พ.ค.57  และต้องขออภัยในความบกพร่อง</t>
  </si>
  <si>
    <t>ในครั้งนี้ด้วยค่ะ</t>
  </si>
  <si>
    <t>แยกประเภทที่ยังไม่ได้ print  มาให้</t>
  </si>
  <si>
    <t xml:space="preserve"> - ค่าน้ำมัน</t>
  </si>
  <si>
    <t xml:space="preserve"> - ค่าเสื่อมราคา</t>
  </si>
  <si>
    <t xml:space="preserve"> - ค่าเสื่อมราคาสะสม</t>
  </si>
  <si>
    <t xml:space="preserve"> - ยานพาหนะ</t>
  </si>
  <si>
    <t xml:space="preserve"> - </t>
  </si>
  <si>
    <t>ตามรายการปรับปรุงและทะเบียนทรัพย์สิน พร้อมร่างงบการเงิน (REVISE)  ที่ได้แนบมาด้วยนี้</t>
  </si>
  <si>
    <t>ค่าสอบบัญชีค้างจ่าย</t>
  </si>
  <si>
    <t>ปป.รายการค่าสอบบัญชี</t>
  </si>
  <si>
    <t>ปป.รายการภาษีเงินได้นิติบุคคล</t>
  </si>
  <si>
    <t>ภาษีเงินได้นิติบุคคลค้างจ่าย</t>
  </si>
  <si>
    <t>ภาษีเงินได้ถูกหัก ณ ที่จ่าย</t>
  </si>
  <si>
    <t xml:space="preserve">เรื่อง รายการปรับปรุง  </t>
  </si>
  <si>
    <t>รายได้ค่าบริการ</t>
  </si>
  <si>
    <t>ภาษีหัก ณ ที่จ่ายไม่ขอคืน (รายจ่ายต้องห้าม)</t>
  </si>
  <si>
    <t>เจ้าหนี้เงินยืมกรรมการ</t>
  </si>
  <si>
    <t>ปป.รายการรายได้ค่าบริการ</t>
  </si>
  <si>
    <t>ปป.รายการค่าตรวจสอบบัญชี</t>
  </si>
  <si>
    <t>ปป.ภาษีเงินได้นิติบุคคล</t>
  </si>
  <si>
    <t>สินทรัพย์ไม่มีตัวตน</t>
  </si>
  <si>
    <t>C2.10</t>
  </si>
  <si>
    <t>ค่าซ่อมแซม</t>
  </si>
  <si>
    <t>ห้างหุ้นส่วนจำกัด จรัญ อำภา ทรานสปอร์ต</t>
  </si>
  <si>
    <t>ทุน - นายไกรสร</t>
  </si>
  <si>
    <t>แสงจันทร์</t>
  </si>
  <si>
    <t>ทุน - นายจรัญ</t>
  </si>
  <si>
    <t xml:space="preserve"> ( นายไกรสร  แสงจันทร์ )</t>
  </si>
  <si>
    <t>ลูกค้า ห้างหุ้นส่วนจำกัด จรัญ อำภา ทรานสปอร์ต</t>
  </si>
  <si>
    <t xml:space="preserve">เงินฝาก ออมทรัพย์ </t>
  </si>
  <si>
    <t>รายได้ค้างรับ</t>
  </si>
  <si>
    <t>ภาษีซื้อรอใบกำกับ</t>
  </si>
  <si>
    <t>ลูกหนี้กรมสรรพากร</t>
  </si>
  <si>
    <t>เงินสมทบประกันสังคม</t>
  </si>
  <si>
    <t>2131-04</t>
  </si>
  <si>
    <t>ค่าขนส่งค้างจ่าย</t>
  </si>
  <si>
    <t>ภาษีหัก ณ ที่จ่ายค้างจ่าย</t>
  </si>
  <si>
    <t>ค่าเช่ารถค้างจ่าย</t>
  </si>
  <si>
    <t>ดอกเบี้ยรับ - เงินฝากธนาคาร</t>
  </si>
  <si>
    <t>ดอกเบี้ยรับ - เงินกู้ยืมหุ้นส่วน</t>
  </si>
  <si>
    <t>ค่าเช่ารถ</t>
  </si>
  <si>
    <t>ค่าขนส่ง</t>
  </si>
  <si>
    <t>ค่าบริการสอบบัญชี</t>
  </si>
  <si>
    <t>ค่าบริการวิชาชีพบัญชี</t>
  </si>
  <si>
    <t>ค่าเสื่อมราคา</t>
  </si>
  <si>
    <t xml:space="preserve">                   0  -  300,000 บาท</t>
  </si>
  <si>
    <t xml:space="preserve">     300,001  -  1,000,000 บาท</t>
  </si>
  <si>
    <t>รายจ่ายที่เกี่ยวข้องกับพนักงาน</t>
  </si>
  <si>
    <t>3.4 และ 5</t>
  </si>
  <si>
    <t>ลูกหนี้การค้า</t>
  </si>
  <si>
    <t>1500-05</t>
  </si>
  <si>
    <t>1500-06</t>
  </si>
  <si>
    <t>เงินประกัน</t>
  </si>
  <si>
    <t>ค่าน้ำมันและค่าใช้จ่ายยานพาหนะ</t>
  </si>
  <si>
    <t>ค่าธรรมเนียมธนาคาร</t>
  </si>
  <si>
    <t>ค่าภาษียานพาหนะ</t>
  </si>
  <si>
    <t>ค่าสาธารณูปโภค</t>
  </si>
  <si>
    <t>ค่าเช่าที่ดิน</t>
  </si>
  <si>
    <t>ค่าสวัสดิการอื่น</t>
  </si>
  <si>
    <t>ค่าแบบฟอร์มพนักงาน</t>
  </si>
  <si>
    <t>2131-11</t>
  </si>
  <si>
    <t>ค่าบริการ</t>
  </si>
  <si>
    <t>เครื่องมือเครื่องใช้</t>
  </si>
  <si>
    <t>เครื่องตกแต่งสำนักงาน</t>
  </si>
  <si>
    <t>ยานพาหนะและส่วนประกอบ</t>
  </si>
  <si>
    <t>ค่าใช้จ่ายค้างจ่าย</t>
  </si>
  <si>
    <t>3.6 และ 9</t>
  </si>
  <si>
    <t>3.7 และ 10</t>
  </si>
  <si>
    <t>อัตราภาษี 10%</t>
  </si>
  <si>
    <t>ลงชื่อ___________________________หุ้นส่วนผู้จัดการ</t>
  </si>
  <si>
    <t>ณ 31 ธันวาคม 2559</t>
  </si>
  <si>
    <t>1500-07</t>
  </si>
  <si>
    <t>เงินเดือนหุ้นส่วน</t>
  </si>
  <si>
    <t>ณ วันที่ 31 ธันวาคม 2560</t>
  </si>
  <si>
    <t>สำหรับปีสิ้นสุดวันที่ 31 ธันวาคม 2560</t>
  </si>
  <si>
    <t>ค่าบริการอื่น</t>
  </si>
  <si>
    <t>ค่าเบี้ยประกันยานพาหนะ</t>
  </si>
  <si>
    <t>ค่าใช้จ่ายพนักงาน</t>
  </si>
  <si>
    <t>3.5 และ 8</t>
  </si>
</sst>
</file>

<file path=xl/styles.xml><?xml version="1.0" encoding="utf-8"?>
<styleSheet xmlns="http://schemas.openxmlformats.org/spreadsheetml/2006/main">
  <numFmts count="11">
    <numFmt numFmtId="5" formatCode="&quot;฿&quot;#,##0;\-&quot;฿&quot;#,##0"/>
    <numFmt numFmtId="43" formatCode="_-* #,##0.00_-;\-* #,##0.00_-;_-* &quot;-&quot;??_-;_-@_-"/>
    <numFmt numFmtId="187" formatCode="_(* #,##0.00_);_(* \(#,##0.00\);_(* &quot;-&quot;??_);_(@_)"/>
    <numFmt numFmtId="188" formatCode="#,##0.00;[Red]\(#,##0.00\)"/>
    <numFmt numFmtId="189" formatCode="#,##0;\(#,##0\)"/>
    <numFmt numFmtId="190" formatCode="#"/>
    <numFmt numFmtId="191" formatCode="#,##0.00;\-\(#,##0.00\)"/>
    <numFmt numFmtId="192" formatCode="#,##0.00;\(#,##0.00\)"/>
    <numFmt numFmtId="193" formatCode="#,##0.0000000000"/>
    <numFmt numFmtId="194" formatCode="#,##0.00_ ;[Red]\-#,##0.00\ "/>
    <numFmt numFmtId="195" formatCode="#,##0.0;[Red]#,##0.0"/>
  </numFmts>
  <fonts count="31">
    <font>
      <sz val="14"/>
      <name val="Cordia New"/>
      <charset val="222"/>
    </font>
    <font>
      <sz val="14"/>
      <name val="Cordia New"/>
      <family val="2"/>
    </font>
    <font>
      <sz val="14"/>
      <name val="Cordia New"/>
      <family val="2"/>
    </font>
    <font>
      <sz val="14"/>
      <name val="Angsana New"/>
      <family val="1"/>
    </font>
    <font>
      <u/>
      <sz val="14"/>
      <name val="Angsana New"/>
      <family val="1"/>
    </font>
    <font>
      <sz val="14"/>
      <color indexed="10"/>
      <name val="Angsana New"/>
      <family val="1"/>
    </font>
    <font>
      <sz val="14"/>
      <color indexed="12"/>
      <name val="Angsana New"/>
      <family val="1"/>
    </font>
    <font>
      <sz val="15"/>
      <name val="Angsana New"/>
      <family val="1"/>
    </font>
    <font>
      <b/>
      <sz val="15"/>
      <name val="Angsana New"/>
      <family val="1"/>
    </font>
    <font>
      <sz val="15"/>
      <color indexed="9"/>
      <name val="Angsana New"/>
      <family val="1"/>
    </font>
    <font>
      <sz val="14"/>
      <color indexed="61"/>
      <name val="Angsana New"/>
      <family val="1"/>
    </font>
    <font>
      <b/>
      <sz val="14"/>
      <name val="Angsana New"/>
      <family val="1"/>
    </font>
    <font>
      <sz val="12"/>
      <name val="Angsana New"/>
      <family val="1"/>
    </font>
    <font>
      <sz val="14"/>
      <color indexed="46"/>
      <name val="Angsana New"/>
      <family val="1"/>
    </font>
    <font>
      <b/>
      <u/>
      <sz val="14"/>
      <name val="Angsana New"/>
      <family val="1"/>
    </font>
    <font>
      <sz val="14"/>
      <color rgb="FFFF0000"/>
      <name val="Angsana New"/>
      <family val="1"/>
    </font>
    <font>
      <b/>
      <sz val="14"/>
      <color theme="1"/>
      <name val="Angsana New"/>
      <family val="1"/>
    </font>
    <font>
      <b/>
      <sz val="14"/>
      <color rgb="FFFF0000"/>
      <name val="Angsana New"/>
      <family val="1"/>
    </font>
    <font>
      <sz val="15"/>
      <color theme="1"/>
      <name val="Angsana New"/>
      <family val="1"/>
    </font>
    <font>
      <sz val="15"/>
      <name val="AngsanaUPC"/>
      <family val="1"/>
      <charset val="222"/>
    </font>
    <font>
      <sz val="14"/>
      <name val="AngsanaUPC"/>
      <family val="1"/>
      <charset val="222"/>
    </font>
    <font>
      <b/>
      <u/>
      <sz val="15"/>
      <name val="Angsana New"/>
      <family val="1"/>
    </font>
    <font>
      <b/>
      <sz val="15"/>
      <name val="AngsanaUPC"/>
      <family val="1"/>
      <charset val="222"/>
    </font>
    <font>
      <b/>
      <u/>
      <sz val="15"/>
      <name val="AngsanaUPC"/>
      <family val="1"/>
      <charset val="222"/>
    </font>
    <font>
      <sz val="13"/>
      <name val="Angsana New"/>
      <family val="1"/>
    </font>
    <font>
      <sz val="10"/>
      <name val="Tahoma"/>
      <family val="2"/>
      <scheme val="minor"/>
    </font>
    <font>
      <b/>
      <sz val="10"/>
      <name val="Tahoma"/>
      <family val="2"/>
      <scheme val="minor"/>
    </font>
    <font>
      <u/>
      <sz val="15"/>
      <name val="Angsana New"/>
      <family val="1"/>
    </font>
    <font>
      <sz val="15"/>
      <name val="AngsanaUPC"/>
      <family val="1"/>
    </font>
    <font>
      <sz val="15"/>
      <color rgb="FFFF0000"/>
      <name val="AngsanaUPC"/>
      <family val="1"/>
      <charset val="222"/>
    </font>
    <font>
      <b/>
      <sz val="15"/>
      <name val="AngsanaUPC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187" fontId="20" fillId="0" borderId="0" applyFont="0" applyFill="0" applyBorder="0" applyAlignment="0" applyProtection="0"/>
  </cellStyleXfs>
  <cellXfs count="524">
    <xf numFmtId="0" fontId="0" fillId="0" borderId="0" xfId="0"/>
    <xf numFmtId="0" fontId="3" fillId="0" borderId="0" xfId="0" applyFont="1"/>
    <xf numFmtId="0" fontId="3" fillId="0" borderId="0" xfId="7" applyFont="1"/>
    <xf numFmtId="0" fontId="3" fillId="0" borderId="0" xfId="7" applyFont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1" xfId="0" applyFont="1" applyBorder="1" applyAlignment="1">
      <alignment horizontal="left"/>
    </xf>
    <xf numFmtId="0" fontId="3" fillId="0" borderId="1" xfId="7" applyFont="1" applyBorder="1"/>
    <xf numFmtId="0" fontId="3" fillId="0" borderId="1" xfId="7" applyFont="1" applyBorder="1" applyAlignment="1">
      <alignment horizontal="center"/>
    </xf>
    <xf numFmtId="0" fontId="3" fillId="0" borderId="1" xfId="7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7" applyFont="1" applyBorder="1" applyAlignment="1">
      <alignment horizontal="left"/>
    </xf>
    <xf numFmtId="0" fontId="3" fillId="0" borderId="8" xfId="7" applyFont="1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3" fillId="0" borderId="8" xfId="7" applyFont="1" applyBorder="1"/>
    <xf numFmtId="0" fontId="3" fillId="0" borderId="9" xfId="7" applyFont="1" applyBorder="1"/>
    <xf numFmtId="0" fontId="4" fillId="0" borderId="10" xfId="0" applyFont="1" applyBorder="1" applyAlignment="1">
      <alignment horizontal="center"/>
    </xf>
    <xf numFmtId="0" fontId="4" fillId="0" borderId="1" xfId="7" applyFont="1" applyBorder="1" applyAlignment="1">
      <alignment horizontal="center"/>
    </xf>
    <xf numFmtId="40" fontId="3" fillId="0" borderId="10" xfId="0" applyNumberFormat="1" applyFont="1" applyBorder="1" applyAlignment="1">
      <alignment horizontal="right"/>
    </xf>
    <xf numFmtId="40" fontId="3" fillId="0" borderId="1" xfId="0" applyNumberFormat="1" applyFont="1" applyBorder="1" applyAlignment="1">
      <alignment horizontal="right"/>
    </xf>
    <xf numFmtId="40" fontId="3" fillId="0" borderId="1" xfId="7" applyNumberFormat="1" applyFont="1" applyBorder="1" applyAlignment="1">
      <alignment horizontal="right"/>
    </xf>
    <xf numFmtId="40" fontId="3" fillId="0" borderId="8" xfId="7" applyNumberFormat="1" applyFont="1" applyBorder="1" applyAlignment="1">
      <alignment horizontal="right"/>
    </xf>
    <xf numFmtId="40" fontId="3" fillId="0" borderId="9" xfId="7" applyNumberFormat="1" applyFont="1" applyBorder="1" applyAlignment="1">
      <alignment horizontal="right"/>
    </xf>
    <xf numFmtId="0" fontId="3" fillId="0" borderId="0" xfId="7" applyFont="1" applyAlignment="1">
      <alignment horizontal="right"/>
    </xf>
    <xf numFmtId="40" fontId="3" fillId="0" borderId="11" xfId="7" applyNumberFormat="1" applyFont="1" applyBorder="1" applyAlignment="1">
      <alignment horizontal="right"/>
    </xf>
    <xf numFmtId="40" fontId="3" fillId="0" borderId="10" xfId="7" applyNumberFormat="1" applyFont="1" applyBorder="1" applyAlignment="1">
      <alignment horizontal="right"/>
    </xf>
    <xf numFmtId="40" fontId="3" fillId="0" borderId="12" xfId="7" applyNumberFormat="1" applyFont="1" applyBorder="1" applyAlignment="1">
      <alignment horizontal="right"/>
    </xf>
    <xf numFmtId="40" fontId="3" fillId="0" borderId="13" xfId="7" applyNumberFormat="1" applyFont="1" applyBorder="1" applyAlignment="1">
      <alignment horizontal="right"/>
    </xf>
    <xf numFmtId="40" fontId="3" fillId="0" borderId="14" xfId="7" applyNumberFormat="1" applyFont="1" applyBorder="1" applyAlignment="1">
      <alignment horizontal="right"/>
    </xf>
    <xf numFmtId="40" fontId="3" fillId="0" borderId="15" xfId="7" applyNumberFormat="1" applyFont="1" applyBorder="1" applyAlignment="1">
      <alignment horizontal="right"/>
    </xf>
    <xf numFmtId="40" fontId="3" fillId="0" borderId="16" xfId="7" applyNumberFormat="1" applyFont="1" applyBorder="1" applyAlignment="1">
      <alignment horizontal="right"/>
    </xf>
    <xf numFmtId="40" fontId="3" fillId="0" borderId="4" xfId="0" applyNumberFormat="1" applyFont="1" applyBorder="1" applyAlignment="1">
      <alignment horizontal="right"/>
    </xf>
    <xf numFmtId="40" fontId="5" fillId="0" borderId="1" xfId="7" applyNumberFormat="1" applyFont="1" applyBorder="1" applyAlignment="1">
      <alignment horizontal="right"/>
    </xf>
    <xf numFmtId="40" fontId="3" fillId="0" borderId="19" xfId="7" applyNumberFormat="1" applyFont="1" applyBorder="1" applyAlignment="1">
      <alignment horizontal="right"/>
    </xf>
    <xf numFmtId="40" fontId="3" fillId="0" borderId="13" xfId="7" applyNumberFormat="1" applyFont="1" applyFill="1" applyBorder="1" applyAlignment="1">
      <alignment horizontal="right"/>
    </xf>
    <xf numFmtId="40" fontId="3" fillId="0" borderId="1" xfId="7" applyNumberFormat="1" applyFont="1" applyFill="1" applyBorder="1" applyAlignment="1">
      <alignment horizontal="right"/>
    </xf>
    <xf numFmtId="40" fontId="3" fillId="0" borderId="10" xfId="7" applyNumberFormat="1" applyFont="1" applyFill="1" applyBorder="1" applyAlignment="1">
      <alignment horizontal="right"/>
    </xf>
    <xf numFmtId="0" fontId="3" fillId="0" borderId="0" xfId="0" applyFont="1" applyBorder="1"/>
    <xf numFmtId="0" fontId="3" fillId="0" borderId="19" xfId="0" applyFont="1" applyBorder="1"/>
    <xf numFmtId="0" fontId="3" fillId="0" borderId="16" xfId="7" applyFont="1" applyBorder="1"/>
    <xf numFmtId="0" fontId="3" fillId="0" borderId="15" xfId="7" applyFont="1" applyBorder="1"/>
    <xf numFmtId="0" fontId="3" fillId="0" borderId="1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43" fontId="3" fillId="0" borderId="16" xfId="1" applyFont="1" applyBorder="1"/>
    <xf numFmtId="43" fontId="3" fillId="0" borderId="12" xfId="1" applyFont="1" applyBorder="1"/>
    <xf numFmtId="43" fontId="3" fillId="0" borderId="13" xfId="1" applyFont="1" applyBorder="1"/>
    <xf numFmtId="40" fontId="7" fillId="0" borderId="0" xfId="0" applyNumberFormat="1" applyFont="1"/>
    <xf numFmtId="192" fontId="7" fillId="0" borderId="0" xfId="0" applyNumberFormat="1" applyFont="1"/>
    <xf numFmtId="0" fontId="7" fillId="0" borderId="0" xfId="0" applyFont="1"/>
    <xf numFmtId="0" fontId="8" fillId="0" borderId="0" xfId="0" applyFont="1"/>
    <xf numFmtId="189" fontId="7" fillId="0" borderId="0" xfId="0" applyNumberFormat="1" applyFont="1"/>
    <xf numFmtId="0" fontId="7" fillId="0" borderId="0" xfId="0" applyFont="1" applyAlignment="1">
      <alignment horizontal="center"/>
    </xf>
    <xf numFmtId="192" fontId="7" fillId="0" borderId="17" xfId="0" applyNumberFormat="1" applyFont="1" applyBorder="1"/>
    <xf numFmtId="0" fontId="7" fillId="0" borderId="0" xfId="0" applyFont="1" applyBorder="1" applyAlignment="1">
      <alignment horizontal="center"/>
    </xf>
    <xf numFmtId="192" fontId="7" fillId="0" borderId="21" xfId="0" applyNumberFormat="1" applyFont="1" applyBorder="1"/>
    <xf numFmtId="192" fontId="7" fillId="0" borderId="0" xfId="0" applyNumberFormat="1" applyFont="1" applyAlignment="1">
      <alignment horizontal="center"/>
    </xf>
    <xf numFmtId="0" fontId="7" fillId="0" borderId="0" xfId="6" applyFont="1" applyFill="1"/>
    <xf numFmtId="0" fontId="7" fillId="0" borderId="0" xfId="6" applyFont="1" applyFill="1" applyAlignment="1">
      <alignment horizontal="center"/>
    </xf>
    <xf numFmtId="0" fontId="7" fillId="0" borderId="0" xfId="6" applyFont="1" applyFill="1" applyBorder="1" applyAlignment="1">
      <alignment horizontal="right"/>
    </xf>
    <xf numFmtId="0" fontId="7" fillId="0" borderId="0" xfId="6" applyFont="1" applyFill="1" applyBorder="1" applyAlignment="1">
      <alignment horizontal="center"/>
    </xf>
    <xf numFmtId="3" fontId="7" fillId="0" borderId="0" xfId="6" applyNumberFormat="1" applyFont="1" applyFill="1"/>
    <xf numFmtId="0" fontId="7" fillId="0" borderId="0" xfId="6" applyFont="1" applyFill="1" applyAlignment="1">
      <alignment horizontal="left"/>
    </xf>
    <xf numFmtId="187" fontId="7" fillId="0" borderId="0" xfId="1" applyNumberFormat="1" applyFont="1" applyFill="1" applyBorder="1" applyAlignment="1">
      <alignment horizontal="right"/>
    </xf>
    <xf numFmtId="40" fontId="10" fillId="2" borderId="10" xfId="7" applyNumberFormat="1" applyFont="1" applyFill="1" applyBorder="1" applyAlignment="1">
      <alignment horizontal="right"/>
    </xf>
    <xf numFmtId="40" fontId="10" fillId="2" borderId="1" xfId="7" applyNumberFormat="1" applyFont="1" applyFill="1" applyBorder="1" applyAlignment="1">
      <alignment horizontal="right"/>
    </xf>
    <xf numFmtId="188" fontId="3" fillId="0" borderId="13" xfId="7" applyNumberFormat="1" applyFont="1" applyBorder="1" applyAlignment="1">
      <alignment horizontal="right"/>
    </xf>
    <xf numFmtId="192" fontId="7" fillId="0" borderId="0" xfId="0" applyNumberFormat="1" applyFont="1" applyBorder="1"/>
    <xf numFmtId="0" fontId="11" fillId="0" borderId="0" xfId="0" applyFont="1"/>
    <xf numFmtId="0" fontId="12" fillId="0" borderId="0" xfId="0" applyFont="1"/>
    <xf numFmtId="0" fontId="3" fillId="0" borderId="0" xfId="0" applyFont="1" applyAlignment="1">
      <alignment horizontal="right"/>
    </xf>
    <xf numFmtId="0" fontId="3" fillId="0" borderId="21" xfId="0" applyFont="1" applyBorder="1" applyAlignment="1">
      <alignment horizontal="center"/>
    </xf>
    <xf numFmtId="0" fontId="3" fillId="0" borderId="15" xfId="0" applyFont="1" applyBorder="1"/>
    <xf numFmtId="0" fontId="3" fillId="0" borderId="22" xfId="0" applyFont="1" applyBorder="1"/>
    <xf numFmtId="0" fontId="3" fillId="0" borderId="22" xfId="0" applyFont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3" fillId="0" borderId="16" xfId="0" applyFont="1" applyBorder="1"/>
    <xf numFmtId="0" fontId="3" fillId="0" borderId="25" xfId="0" applyFont="1" applyBorder="1"/>
    <xf numFmtId="1" fontId="3" fillId="0" borderId="25" xfId="7" applyNumberFormat="1" applyFont="1" applyBorder="1" applyAlignment="1">
      <alignment horizontal="center"/>
    </xf>
    <xf numFmtId="0" fontId="3" fillId="0" borderId="26" xfId="7" applyFont="1" applyBorder="1" applyAlignment="1">
      <alignment horizontal="center"/>
    </xf>
    <xf numFmtId="187" fontId="3" fillId="0" borderId="26" xfId="4" applyFont="1" applyBorder="1"/>
    <xf numFmtId="4" fontId="3" fillId="0" borderId="27" xfId="0" applyNumberFormat="1" applyFont="1" applyBorder="1"/>
    <xf numFmtId="4" fontId="3" fillId="0" borderId="25" xfId="0" applyNumberFormat="1" applyFont="1" applyBorder="1"/>
    <xf numFmtId="0" fontId="3" fillId="0" borderId="28" xfId="0" applyFont="1" applyBorder="1"/>
    <xf numFmtId="0" fontId="3" fillId="0" borderId="29" xfId="0" applyFont="1" applyBorder="1"/>
    <xf numFmtId="4" fontId="3" fillId="0" borderId="28" xfId="0" applyNumberFormat="1" applyFont="1" applyBorder="1"/>
    <xf numFmtId="4" fontId="3" fillId="0" borderId="29" xfId="0" applyNumberFormat="1" applyFont="1" applyBorder="1"/>
    <xf numFmtId="4" fontId="3" fillId="0" borderId="12" xfId="0" applyNumberFormat="1" applyFont="1" applyBorder="1"/>
    <xf numFmtId="4" fontId="3" fillId="0" borderId="17" xfId="0" applyNumberFormat="1" applyFont="1" applyBorder="1"/>
    <xf numFmtId="40" fontId="3" fillId="0" borderId="26" xfId="0" applyNumberFormat="1" applyFont="1" applyBorder="1"/>
    <xf numFmtId="0" fontId="3" fillId="0" borderId="25" xfId="0" applyFont="1" applyBorder="1" applyAlignment="1">
      <alignment horizontal="center"/>
    </xf>
    <xf numFmtId="0" fontId="3" fillId="0" borderId="27" xfId="0" applyFont="1" applyBorder="1"/>
    <xf numFmtId="0" fontId="3" fillId="0" borderId="25" xfId="7" applyFont="1" applyBorder="1" applyAlignment="1">
      <alignment horizontal="center"/>
    </xf>
    <xf numFmtId="4" fontId="3" fillId="0" borderId="0" xfId="0" applyNumberFormat="1" applyFont="1" applyBorder="1"/>
    <xf numFmtId="0" fontId="3" fillId="0" borderId="26" xfId="0" applyFont="1" applyBorder="1"/>
    <xf numFmtId="43" fontId="3" fillId="0" borderId="26" xfId="1" applyFont="1" applyBorder="1"/>
    <xf numFmtId="187" fontId="3" fillId="0" borderId="25" xfId="4" applyFont="1" applyBorder="1"/>
    <xf numFmtId="39" fontId="3" fillId="0" borderId="27" xfId="0" applyNumberFormat="1" applyFont="1" applyBorder="1"/>
    <xf numFmtId="1" fontId="3" fillId="0" borderId="28" xfId="7" applyNumberFormat="1" applyFont="1" applyBorder="1" applyAlignment="1">
      <alignment horizontal="center"/>
    </xf>
    <xf numFmtId="4" fontId="3" fillId="0" borderId="26" xfId="0" applyNumberFormat="1" applyFont="1" applyBorder="1"/>
    <xf numFmtId="0" fontId="11" fillId="0" borderId="25" xfId="0" applyFont="1" applyBorder="1" applyAlignment="1">
      <alignment horizontal="center"/>
    </xf>
    <xf numFmtId="188" fontId="3" fillId="0" borderId="15" xfId="7" applyNumberFormat="1" applyFont="1" applyBorder="1" applyAlignment="1">
      <alignment horizontal="right"/>
    </xf>
    <xf numFmtId="40" fontId="6" fillId="0" borderId="10" xfId="7" applyNumberFormat="1" applyFont="1" applyBorder="1" applyAlignment="1">
      <alignment horizontal="right"/>
    </xf>
    <xf numFmtId="40" fontId="6" fillId="0" borderId="31" xfId="7" applyNumberFormat="1" applyFont="1" applyBorder="1" applyAlignment="1">
      <alignment horizontal="right"/>
    </xf>
    <xf numFmtId="188" fontId="3" fillId="0" borderId="1" xfId="7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43" fontId="3" fillId="0" borderId="21" xfId="1" applyFont="1" applyBorder="1"/>
    <xf numFmtId="0" fontId="3" fillId="0" borderId="11" xfId="7" applyFont="1" applyBorder="1" applyAlignment="1">
      <alignment horizontal="center"/>
    </xf>
    <xf numFmtId="187" fontId="3" fillId="0" borderId="12" xfId="4" applyFont="1" applyBorder="1"/>
    <xf numFmtId="0" fontId="3" fillId="0" borderId="21" xfId="7" applyFont="1" applyBorder="1" applyAlignment="1">
      <alignment horizontal="center"/>
    </xf>
    <xf numFmtId="40" fontId="3" fillId="0" borderId="21" xfId="7" applyNumberFormat="1" applyFont="1" applyBorder="1" applyAlignment="1">
      <alignment horizontal="right"/>
    </xf>
    <xf numFmtId="0" fontId="3" fillId="0" borderId="32" xfId="7" applyFont="1" applyBorder="1" applyAlignment="1">
      <alignment horizontal="center"/>
    </xf>
    <xf numFmtId="188" fontId="3" fillId="0" borderId="11" xfId="7" applyNumberFormat="1" applyFont="1" applyBorder="1" applyAlignment="1">
      <alignment horizontal="right"/>
    </xf>
    <xf numFmtId="188" fontId="3" fillId="0" borderId="12" xfId="7" applyNumberFormat="1" applyFont="1" applyBorder="1" applyAlignment="1">
      <alignment horizontal="right"/>
    </xf>
    <xf numFmtId="188" fontId="13" fillId="0" borderId="0" xfId="7" applyNumberFormat="1" applyFont="1"/>
    <xf numFmtId="188" fontId="3" fillId="0" borderId="0" xfId="7" applyNumberFormat="1" applyFont="1" applyAlignment="1">
      <alignment horizontal="center"/>
    </xf>
    <xf numFmtId="4" fontId="3" fillId="0" borderId="0" xfId="7" applyNumberFormat="1" applyFont="1" applyAlignment="1">
      <alignment horizontal="center"/>
    </xf>
    <xf numFmtId="188" fontId="3" fillId="0" borderId="20" xfId="7" applyNumberFormat="1" applyFont="1" applyBorder="1" applyAlignment="1">
      <alignment horizontal="center"/>
    </xf>
    <xf numFmtId="0" fontId="14" fillId="0" borderId="23" xfId="0" applyFont="1" applyBorder="1"/>
    <xf numFmtId="0" fontId="3" fillId="0" borderId="30" xfId="7" applyFont="1" applyBorder="1" applyAlignment="1">
      <alignment horizontal="center"/>
    </xf>
    <xf numFmtId="40" fontId="3" fillId="0" borderId="12" xfId="0" applyNumberFormat="1" applyFont="1" applyBorder="1"/>
    <xf numFmtId="0" fontId="14" fillId="0" borderId="25" xfId="0" applyFont="1" applyBorder="1"/>
    <xf numFmtId="43" fontId="3" fillId="0" borderId="19" xfId="1" applyFont="1" applyBorder="1"/>
    <xf numFmtId="187" fontId="7" fillId="0" borderId="0" xfId="0" applyNumberFormat="1" applyFont="1"/>
    <xf numFmtId="187" fontId="8" fillId="0" borderId="20" xfId="0" applyNumberFormat="1" applyFont="1" applyBorder="1"/>
    <xf numFmtId="4" fontId="3" fillId="0" borderId="0" xfId="0" applyNumberFormat="1" applyFont="1"/>
    <xf numFmtId="43" fontId="3" fillId="0" borderId="33" xfId="1" applyFont="1" applyBorder="1"/>
    <xf numFmtId="0" fontId="7" fillId="0" borderId="0" xfId="0" applyFont="1" applyBorder="1"/>
    <xf numFmtId="187" fontId="7" fillId="0" borderId="0" xfId="1" quotePrefix="1" applyNumberFormat="1" applyFont="1" applyFill="1" applyBorder="1" applyAlignment="1">
      <alignment horizontal="right"/>
    </xf>
    <xf numFmtId="187" fontId="7" fillId="0" borderId="0" xfId="6" applyNumberFormat="1" applyFont="1" applyFill="1"/>
    <xf numFmtId="187" fontId="7" fillId="0" borderId="20" xfId="1" quotePrefix="1" applyNumberFormat="1" applyFont="1" applyFill="1" applyBorder="1" applyAlignment="1">
      <alignment horizontal="right"/>
    </xf>
    <xf numFmtId="187" fontId="7" fillId="0" borderId="20" xfId="1" applyNumberFormat="1" applyFont="1" applyFill="1" applyBorder="1" applyAlignment="1">
      <alignment horizontal="right"/>
    </xf>
    <xf numFmtId="0" fontId="8" fillId="0" borderId="0" xfId="6" applyFont="1" applyFill="1" applyAlignment="1">
      <alignment horizontal="center"/>
    </xf>
    <xf numFmtId="187" fontId="7" fillId="0" borderId="22" xfId="0" applyNumberFormat="1" applyFont="1" applyBorder="1"/>
    <xf numFmtId="0" fontId="9" fillId="0" borderId="0" xfId="0" applyFont="1"/>
    <xf numFmtId="1" fontId="15" fillId="0" borderId="28" xfId="7" applyNumberFormat="1" applyFont="1" applyBorder="1" applyAlignment="1">
      <alignment horizontal="center"/>
    </xf>
    <xf numFmtId="0" fontId="15" fillId="0" borderId="32" xfId="7" applyFont="1" applyBorder="1" applyAlignment="1">
      <alignment horizontal="center"/>
    </xf>
    <xf numFmtId="187" fontId="15" fillId="0" borderId="26" xfId="4" applyFont="1" applyBorder="1"/>
    <xf numFmtId="0" fontId="15" fillId="0" borderId="0" xfId="0" applyFont="1"/>
    <xf numFmtId="190" fontId="8" fillId="0" borderId="22" xfId="0" applyNumberFormat="1" applyFont="1" applyBorder="1" applyAlignment="1">
      <alignment horizontal="center"/>
    </xf>
    <xf numFmtId="190" fontId="8" fillId="0" borderId="0" xfId="0" applyNumberFormat="1" applyFont="1" applyBorder="1" applyAlignment="1">
      <alignment horizontal="center"/>
    </xf>
    <xf numFmtId="187" fontId="7" fillId="0" borderId="0" xfId="0" applyNumberFormat="1" applyFont="1" applyBorder="1"/>
    <xf numFmtId="187" fontId="8" fillId="0" borderId="21" xfId="0" applyNumberFormat="1" applyFont="1" applyBorder="1"/>
    <xf numFmtId="187" fontId="8" fillId="0" borderId="0" xfId="0" applyNumberFormat="1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87" fontId="8" fillId="0" borderId="0" xfId="0" applyNumberFormat="1" applyFont="1" applyBorder="1"/>
    <xf numFmtId="40" fontId="3" fillId="0" borderId="33" xfId="7" applyNumberFormat="1" applyFont="1" applyBorder="1" applyAlignment="1">
      <alignment horizontal="right"/>
    </xf>
    <xf numFmtId="0" fontId="15" fillId="0" borderId="16" xfId="0" applyFont="1" applyBorder="1"/>
    <xf numFmtId="4" fontId="15" fillId="0" borderId="30" xfId="0" applyNumberFormat="1" applyFont="1" applyBorder="1"/>
    <xf numFmtId="4" fontId="15" fillId="0" borderId="26" xfId="0" applyNumberFormat="1" applyFont="1" applyBorder="1"/>
    <xf numFmtId="187" fontId="16" fillId="0" borderId="12" xfId="4" applyFont="1" applyBorder="1"/>
    <xf numFmtId="0" fontId="17" fillId="0" borderId="28" xfId="0" applyFont="1" applyBorder="1"/>
    <xf numFmtId="1" fontId="17" fillId="0" borderId="28" xfId="7" applyNumberFormat="1" applyFont="1" applyBorder="1" applyAlignment="1">
      <alignment horizontal="center"/>
    </xf>
    <xf numFmtId="0" fontId="17" fillId="0" borderId="32" xfId="7" applyFont="1" applyBorder="1" applyAlignment="1">
      <alignment horizontal="center"/>
    </xf>
    <xf numFmtId="187" fontId="17" fillId="0" borderId="26" xfId="4" applyFont="1" applyBorder="1"/>
    <xf numFmtId="4" fontId="17" fillId="0" borderId="27" xfId="0" applyNumberFormat="1" applyFont="1" applyBorder="1"/>
    <xf numFmtId="4" fontId="17" fillId="0" borderId="25" xfId="0" applyNumberFormat="1" applyFont="1" applyBorder="1"/>
    <xf numFmtId="0" fontId="17" fillId="0" borderId="0" xfId="0" applyFont="1"/>
    <xf numFmtId="4" fontId="11" fillId="0" borderId="12" xfId="0" applyNumberFormat="1" applyFont="1" applyBorder="1"/>
    <xf numFmtId="187" fontId="8" fillId="0" borderId="20" xfId="7" applyNumberFormat="1" applyFont="1" applyFill="1" applyBorder="1" applyAlignment="1">
      <alignment horizontal="right"/>
    </xf>
    <xf numFmtId="0" fontId="8" fillId="0" borderId="0" xfId="6" applyFont="1" applyFill="1" applyBorder="1" applyAlignment="1">
      <alignment horizontal="right"/>
    </xf>
    <xf numFmtId="192" fontId="8" fillId="0" borderId="0" xfId="0" applyNumberFormat="1" applyFont="1" applyAlignment="1">
      <alignment horizontal="center"/>
    </xf>
    <xf numFmtId="0" fontId="8" fillId="0" borderId="0" xfId="6" applyFont="1" applyFill="1" applyBorder="1" applyAlignment="1">
      <alignment horizontal="center"/>
    </xf>
    <xf numFmtId="0" fontId="8" fillId="0" borderId="22" xfId="6" applyFont="1" applyFill="1" applyBorder="1" applyAlignment="1">
      <alignment horizontal="center"/>
    </xf>
    <xf numFmtId="43" fontId="18" fillId="0" borderId="0" xfId="1" applyFont="1" applyFill="1" applyAlignment="1">
      <alignment horizontal="right"/>
    </xf>
    <xf numFmtId="4" fontId="18" fillId="0" borderId="0" xfId="6" applyNumberFormat="1" applyFont="1" applyFill="1" applyAlignment="1">
      <alignment horizontal="center"/>
    </xf>
    <xf numFmtId="3" fontId="18" fillId="0" borderId="0" xfId="6" applyNumberFormat="1" applyFont="1" applyFill="1"/>
    <xf numFmtId="0" fontId="18" fillId="0" borderId="0" xfId="6" applyFont="1" applyFill="1"/>
    <xf numFmtId="187" fontId="18" fillId="0" borderId="0" xfId="6" applyNumberFormat="1" applyFont="1" applyFill="1"/>
    <xf numFmtId="0" fontId="18" fillId="0" borderId="0" xfId="0" applyFont="1"/>
    <xf numFmtId="187" fontId="3" fillId="0" borderId="16" xfId="4" applyFont="1" applyBorder="1"/>
    <xf numFmtId="4" fontId="3" fillId="0" borderId="30" xfId="0" applyNumberFormat="1" applyFont="1" applyBorder="1"/>
    <xf numFmtId="187" fontId="11" fillId="0" borderId="12" xfId="4" applyFont="1" applyBorder="1"/>
    <xf numFmtId="39" fontId="3" fillId="0" borderId="0" xfId="0" applyNumberFormat="1" applyFont="1"/>
    <xf numFmtId="1" fontId="3" fillId="0" borderId="16" xfId="7" applyNumberFormat="1" applyFont="1" applyBorder="1" applyAlignment="1">
      <alignment horizontal="center"/>
    </xf>
    <xf numFmtId="0" fontId="3" fillId="0" borderId="0" xfId="7" applyFont="1" applyBorder="1" applyAlignment="1">
      <alignment horizontal="center"/>
    </xf>
    <xf numFmtId="4" fontId="3" fillId="0" borderId="16" xfId="0" applyNumberFormat="1" applyFont="1" applyBorder="1"/>
    <xf numFmtId="0" fontId="16" fillId="0" borderId="16" xfId="0" applyFont="1" applyBorder="1"/>
    <xf numFmtId="1" fontId="16" fillId="0" borderId="28" xfId="7" applyNumberFormat="1" applyFont="1" applyBorder="1" applyAlignment="1">
      <alignment horizontal="center"/>
    </xf>
    <xf numFmtId="0" fontId="16" fillId="0" borderId="32" xfId="7" applyFont="1" applyBorder="1" applyAlignment="1">
      <alignment horizontal="center"/>
    </xf>
    <xf numFmtId="187" fontId="16" fillId="0" borderId="26" xfId="4" applyFont="1" applyBorder="1"/>
    <xf numFmtId="4" fontId="16" fillId="0" borderId="30" xfId="0" applyNumberFormat="1" applyFont="1" applyBorder="1"/>
    <xf numFmtId="4" fontId="16" fillId="0" borderId="26" xfId="0" applyNumberFormat="1" applyFont="1" applyBorder="1"/>
    <xf numFmtId="0" fontId="16" fillId="0" borderId="0" xfId="0" applyFont="1"/>
    <xf numFmtId="4" fontId="16" fillId="0" borderId="25" xfId="0" applyNumberFormat="1" applyFont="1" applyBorder="1"/>
    <xf numFmtId="0" fontId="3" fillId="0" borderId="0" xfId="5" applyFont="1" applyBorder="1"/>
    <xf numFmtId="0" fontId="3" fillId="0" borderId="0" xfId="5" applyFont="1"/>
    <xf numFmtId="0" fontId="11" fillId="0" borderId="0" xfId="5" applyFont="1"/>
    <xf numFmtId="43" fontId="3" fillId="0" borderId="0" xfId="3" applyFont="1"/>
    <xf numFmtId="0" fontId="12" fillId="0" borderId="0" xfId="5" applyFont="1"/>
    <xf numFmtId="0" fontId="3" fillId="0" borderId="0" xfId="5" applyFont="1" applyAlignment="1">
      <alignment horizontal="right"/>
    </xf>
    <xf numFmtId="0" fontId="3" fillId="0" borderId="19" xfId="5" applyFont="1" applyBorder="1" applyAlignment="1">
      <alignment horizontal="center"/>
    </xf>
    <xf numFmtId="0" fontId="3" fillId="0" borderId="21" xfId="5" applyFont="1" applyBorder="1" applyAlignment="1">
      <alignment horizontal="center"/>
    </xf>
    <xf numFmtId="0" fontId="3" fillId="0" borderId="15" xfId="5" applyFont="1" applyBorder="1"/>
    <xf numFmtId="0" fontId="3" fillId="0" borderId="22" xfId="5" applyFont="1" applyBorder="1"/>
    <xf numFmtId="0" fontId="3" fillId="0" borderId="15" xfId="5" applyFont="1" applyBorder="1" applyAlignment="1">
      <alignment horizontal="center"/>
    </xf>
    <xf numFmtId="0" fontId="3" fillId="0" borderId="22" xfId="5" applyFont="1" applyBorder="1" applyAlignment="1">
      <alignment horizontal="center"/>
    </xf>
    <xf numFmtId="0" fontId="3" fillId="0" borderId="23" xfId="5" applyFont="1" applyBorder="1"/>
    <xf numFmtId="0" fontId="3" fillId="0" borderId="24" xfId="5" applyFont="1" applyBorder="1"/>
    <xf numFmtId="43" fontId="3" fillId="0" borderId="25" xfId="3" applyFont="1" applyBorder="1"/>
    <xf numFmtId="4" fontId="3" fillId="0" borderId="27" xfId="5" applyNumberFormat="1" applyFont="1" applyBorder="1"/>
    <xf numFmtId="0" fontId="3" fillId="0" borderId="26" xfId="5" applyFont="1" applyBorder="1"/>
    <xf numFmtId="0" fontId="3" fillId="0" borderId="30" xfId="5" applyFont="1" applyBorder="1"/>
    <xf numFmtId="43" fontId="3" fillId="0" borderId="26" xfId="3" applyFont="1" applyBorder="1"/>
    <xf numFmtId="4" fontId="11" fillId="0" borderId="27" xfId="5" applyNumberFormat="1" applyFont="1" applyBorder="1"/>
    <xf numFmtId="0" fontId="11" fillId="0" borderId="26" xfId="5" applyFont="1" applyBorder="1"/>
    <xf numFmtId="0" fontId="11" fillId="0" borderId="30" xfId="5" applyFont="1" applyBorder="1"/>
    <xf numFmtId="43" fontId="11" fillId="0" borderId="12" xfId="3" applyFont="1" applyBorder="1"/>
    <xf numFmtId="187" fontId="3" fillId="0" borderId="0" xfId="5" applyNumberFormat="1" applyFont="1"/>
    <xf numFmtId="43" fontId="11" fillId="0" borderId="16" xfId="3" applyFont="1" applyBorder="1"/>
    <xf numFmtId="43" fontId="11" fillId="0" borderId="0" xfId="3" applyFont="1" applyBorder="1"/>
    <xf numFmtId="43" fontId="3" fillId="0" borderId="30" xfId="3" applyFont="1" applyBorder="1"/>
    <xf numFmtId="0" fontId="3" fillId="0" borderId="25" xfId="5" applyFont="1" applyBorder="1"/>
    <xf numFmtId="0" fontId="3" fillId="0" borderId="27" xfId="5" applyFont="1" applyBorder="1"/>
    <xf numFmtId="43" fontId="3" fillId="0" borderId="27" xfId="3" applyFont="1" applyBorder="1"/>
    <xf numFmtId="0" fontId="3" fillId="0" borderId="28" xfId="5" applyFont="1" applyBorder="1"/>
    <xf numFmtId="0" fontId="3" fillId="0" borderId="29" xfId="5" applyFont="1" applyBorder="1"/>
    <xf numFmtId="43" fontId="3" fillId="0" borderId="28" xfId="3" applyFont="1" applyBorder="1"/>
    <xf numFmtId="43" fontId="3" fillId="0" borderId="29" xfId="3" applyFont="1" applyBorder="1"/>
    <xf numFmtId="4" fontId="3" fillId="0" borderId="29" xfId="5" applyNumberFormat="1" applyFont="1" applyBorder="1"/>
    <xf numFmtId="4" fontId="3" fillId="0" borderId="36" xfId="5" applyNumberFormat="1" applyFont="1" applyBorder="1"/>
    <xf numFmtId="0" fontId="3" fillId="0" borderId="35" xfId="5" applyFont="1" applyBorder="1"/>
    <xf numFmtId="0" fontId="3" fillId="0" borderId="37" xfId="5" applyFont="1" applyBorder="1"/>
    <xf numFmtId="43" fontId="3" fillId="0" borderId="15" xfId="3" applyFont="1" applyBorder="1"/>
    <xf numFmtId="43" fontId="3" fillId="0" borderId="0" xfId="5" applyNumberFormat="1" applyFont="1" applyFill="1"/>
    <xf numFmtId="43" fontId="3" fillId="0" borderId="0" xfId="3" applyFont="1" applyFill="1"/>
    <xf numFmtId="43" fontId="3" fillId="0" borderId="0" xfId="5" applyNumberFormat="1" applyFont="1"/>
    <xf numFmtId="0" fontId="3" fillId="0" borderId="0" xfId="5" applyFont="1" applyFill="1"/>
    <xf numFmtId="43" fontId="3" fillId="0" borderId="20" xfId="5" applyNumberFormat="1" applyFont="1" applyFill="1" applyBorder="1"/>
    <xf numFmtId="187" fontId="3" fillId="0" borderId="20" xfId="5" applyNumberFormat="1" applyFont="1" applyBorder="1"/>
    <xf numFmtId="43" fontId="3" fillId="0" borderId="0" xfId="3" applyFont="1" applyBorder="1"/>
    <xf numFmtId="40" fontId="3" fillId="0" borderId="4" xfId="7" applyNumberFormat="1" applyFont="1" applyBorder="1" applyAlignment="1">
      <alignment horizontal="right"/>
    </xf>
    <xf numFmtId="0" fontId="3" fillId="0" borderId="11" xfId="7" applyFont="1" applyBorder="1" applyAlignment="1">
      <alignment horizontal="left"/>
    </xf>
    <xf numFmtId="40" fontId="3" fillId="0" borderId="16" xfId="0" applyNumberFormat="1" applyFont="1" applyBorder="1"/>
    <xf numFmtId="39" fontId="3" fillId="0" borderId="28" xfId="0" applyNumberFormat="1" applyFont="1" applyBorder="1"/>
    <xf numFmtId="39" fontId="3" fillId="0" borderId="25" xfId="0" applyNumberFormat="1" applyFont="1" applyBorder="1"/>
    <xf numFmtId="9" fontId="3" fillId="0" borderId="0" xfId="2" applyFont="1"/>
    <xf numFmtId="43" fontId="3" fillId="0" borderId="0" xfId="1" applyFont="1"/>
    <xf numFmtId="0" fontId="15" fillId="0" borderId="26" xfId="0" applyFont="1" applyBorder="1"/>
    <xf numFmtId="4" fontId="15" fillId="0" borderId="27" xfId="0" applyNumberFormat="1" applyFont="1" applyBorder="1"/>
    <xf numFmtId="4" fontId="15" fillId="0" borderId="25" xfId="0" applyNumberFormat="1" applyFont="1" applyBorder="1"/>
    <xf numFmtId="0" fontId="19" fillId="0" borderId="0" xfId="0" applyFont="1"/>
    <xf numFmtId="0" fontId="20" fillId="0" borderId="0" xfId="0" applyFont="1"/>
    <xf numFmtId="0" fontId="3" fillId="0" borderId="10" xfId="7" applyFont="1" applyBorder="1" applyAlignment="1">
      <alignment horizontal="center"/>
    </xf>
    <xf numFmtId="0" fontId="3" fillId="0" borderId="31" xfId="7" applyFont="1" applyBorder="1"/>
    <xf numFmtId="0" fontId="11" fillId="0" borderId="28" xfId="0" applyFont="1" applyBorder="1" applyAlignment="1">
      <alignment horizontal="center"/>
    </xf>
    <xf numFmtId="0" fontId="3" fillId="0" borderId="21" xfId="0" applyFont="1" applyBorder="1"/>
    <xf numFmtId="191" fontId="3" fillId="0" borderId="19" xfId="0" applyNumberFormat="1" applyFont="1" applyBorder="1"/>
    <xf numFmtId="191" fontId="3" fillId="0" borderId="21" xfId="0" applyNumberFormat="1" applyFont="1" applyBorder="1"/>
    <xf numFmtId="191" fontId="3" fillId="0" borderId="16" xfId="1" applyNumberFormat="1" applyFont="1" applyBorder="1"/>
    <xf numFmtId="191" fontId="3" fillId="0" borderId="0" xfId="0" applyNumberFormat="1" applyFont="1" applyBorder="1"/>
    <xf numFmtId="191" fontId="3" fillId="0" borderId="16" xfId="0" applyNumberFormat="1" applyFont="1" applyBorder="1"/>
    <xf numFmtId="191" fontId="3" fillId="0" borderId="26" xfId="0" applyNumberFormat="1" applyFont="1" applyBorder="1"/>
    <xf numFmtId="191" fontId="3" fillId="0" borderId="12" xfId="0" applyNumberFormat="1" applyFont="1" applyBorder="1"/>
    <xf numFmtId="191" fontId="3" fillId="0" borderId="25" xfId="0" applyNumberFormat="1" applyFont="1" applyBorder="1"/>
    <xf numFmtId="0" fontId="21" fillId="0" borderId="0" xfId="0" applyFont="1" applyBorder="1" applyAlignment="1">
      <alignment horizontal="center"/>
    </xf>
    <xf numFmtId="43" fontId="19" fillId="0" borderId="0" xfId="1" applyFont="1" applyBorder="1" applyAlignment="1">
      <alignment horizontal="center"/>
    </xf>
    <xf numFmtId="37" fontId="7" fillId="0" borderId="0" xfId="0" applyNumberFormat="1" applyFont="1" applyBorder="1" applyAlignment="1">
      <alignment horizontal="center"/>
    </xf>
    <xf numFmtId="187" fontId="3" fillId="0" borderId="0" xfId="0" applyNumberFormat="1" applyFont="1"/>
    <xf numFmtId="43" fontId="3" fillId="0" borderId="0" xfId="0" applyNumberFormat="1" applyFont="1"/>
    <xf numFmtId="187" fontId="8" fillId="0" borderId="17" xfId="0" applyNumberFormat="1" applyFont="1" applyBorder="1"/>
    <xf numFmtId="192" fontId="8" fillId="0" borderId="20" xfId="0" applyNumberFormat="1" applyFont="1" applyBorder="1"/>
    <xf numFmtId="192" fontId="8" fillId="0" borderId="0" xfId="0" applyNumberFormat="1" applyFont="1"/>
    <xf numFmtId="192" fontId="3" fillId="0" borderId="12" xfId="0" applyNumberFormat="1" applyFont="1" applyBorder="1"/>
    <xf numFmtId="188" fontId="3" fillId="0" borderId="16" xfId="0" applyNumberFormat="1" applyFont="1" applyBorder="1"/>
    <xf numFmtId="43" fontId="3" fillId="0" borderId="25" xfId="1" applyFont="1" applyBorder="1"/>
    <xf numFmtId="0" fontId="3" fillId="0" borderId="27" xfId="7" applyFont="1" applyBorder="1" applyAlignment="1">
      <alignment horizontal="center"/>
    </xf>
    <xf numFmtId="4" fontId="3" fillId="0" borderId="15" xfId="0" applyNumberFormat="1" applyFont="1" applyBorder="1"/>
    <xf numFmtId="0" fontId="3" fillId="0" borderId="36" xfId="0" applyFont="1" applyBorder="1"/>
    <xf numFmtId="1" fontId="3" fillId="0" borderId="35" xfId="7" applyNumberFormat="1" applyFont="1" applyBorder="1" applyAlignment="1">
      <alignment horizontal="center"/>
    </xf>
    <xf numFmtId="0" fontId="3" fillId="0" borderId="36" xfId="7" applyFont="1" applyBorder="1" applyAlignment="1">
      <alignment horizontal="center"/>
    </xf>
    <xf numFmtId="187" fontId="3" fillId="0" borderId="35" xfId="4" applyFont="1" applyBorder="1"/>
    <xf numFmtId="0" fontId="15" fillId="0" borderId="0" xfId="7" applyFont="1"/>
    <xf numFmtId="0" fontId="15" fillId="0" borderId="0" xfId="0" applyFont="1" applyBorder="1"/>
    <xf numFmtId="4" fontId="15" fillId="0" borderId="0" xfId="0" applyNumberFormat="1" applyFont="1"/>
    <xf numFmtId="4" fontId="16" fillId="0" borderId="0" xfId="0" applyNumberFormat="1" applyFont="1"/>
    <xf numFmtId="43" fontId="15" fillId="0" borderId="0" xfId="0" applyNumberFormat="1" applyFont="1"/>
    <xf numFmtId="193" fontId="17" fillId="0" borderId="0" xfId="0" applyNumberFormat="1" applyFont="1"/>
    <xf numFmtId="0" fontId="7" fillId="0" borderId="0" xfId="0" applyFont="1" applyAlignment="1">
      <alignment horizontal="right" wrapText="1"/>
    </xf>
    <xf numFmtId="2" fontId="7" fillId="0" borderId="0" xfId="0" applyNumberFormat="1" applyFont="1"/>
    <xf numFmtId="0" fontId="19" fillId="0" borderId="0" xfId="0" applyFont="1" applyFill="1"/>
    <xf numFmtId="0" fontId="23" fillId="0" borderId="0" xfId="0" applyFont="1"/>
    <xf numFmtId="0" fontId="19" fillId="0" borderId="0" xfId="0" applyFont="1" applyAlignment="1">
      <alignment horizontal="center" vertical="top" wrapText="1"/>
    </xf>
    <xf numFmtId="0" fontId="19" fillId="0" borderId="0" xfId="0" applyFont="1" applyAlignment="1">
      <alignment horizontal="left" vertical="top" wrapText="1"/>
    </xf>
    <xf numFmtId="43" fontId="19" fillId="0" borderId="0" xfId="1" applyFont="1" applyBorder="1"/>
    <xf numFmtId="43" fontId="19" fillId="0" borderId="0" xfId="1" applyFont="1"/>
    <xf numFmtId="43" fontId="19" fillId="0" borderId="0" xfId="1" applyFont="1" applyFill="1"/>
    <xf numFmtId="43" fontId="19" fillId="0" borderId="0" xfId="0" applyNumberFormat="1" applyFont="1" applyFill="1"/>
    <xf numFmtId="4" fontId="19" fillId="0" borderId="0" xfId="0" applyNumberFormat="1" applyFont="1" applyFill="1"/>
    <xf numFmtId="43" fontId="19" fillId="0" borderId="0" xfId="0" applyNumberFormat="1" applyFont="1"/>
    <xf numFmtId="0" fontId="19" fillId="0" borderId="0" xfId="0" applyFont="1" applyFill="1" applyAlignment="1">
      <alignment horizontal="center"/>
    </xf>
    <xf numFmtId="0" fontId="3" fillId="0" borderId="15" xfId="0" applyFont="1" applyBorder="1" applyAlignment="1">
      <alignment horizontal="left"/>
    </xf>
    <xf numFmtId="0" fontId="3" fillId="0" borderId="39" xfId="0" applyFont="1" applyBorder="1"/>
    <xf numFmtId="0" fontId="3" fillId="0" borderId="25" xfId="0" applyFont="1" applyBorder="1" applyAlignment="1">
      <alignment horizontal="left"/>
    </xf>
    <xf numFmtId="191" fontId="3" fillId="0" borderId="27" xfId="0" applyNumberFormat="1" applyFont="1" applyBorder="1"/>
    <xf numFmtId="191" fontId="3" fillId="0" borderId="0" xfId="0" applyNumberFormat="1" applyFont="1"/>
    <xf numFmtId="194" fontId="3" fillId="0" borderId="0" xfId="0" applyNumberFormat="1" applyFont="1"/>
    <xf numFmtId="43" fontId="3" fillId="0" borderId="1" xfId="1" applyFont="1" applyBorder="1"/>
    <xf numFmtId="40" fontId="6" fillId="0" borderId="1" xfId="7" applyNumberFormat="1" applyFont="1" applyBorder="1" applyAlignment="1">
      <alignment horizontal="right"/>
    </xf>
    <xf numFmtId="40" fontId="6" fillId="0" borderId="8" xfId="7" applyNumberFormat="1" applyFont="1" applyBorder="1" applyAlignment="1">
      <alignment horizontal="right"/>
    </xf>
    <xf numFmtId="0" fontId="3" fillId="0" borderId="31" xfId="7" applyFont="1" applyBorder="1" applyAlignment="1">
      <alignment horizontal="left"/>
    </xf>
    <xf numFmtId="0" fontId="3" fillId="0" borderId="31" xfId="7" applyFont="1" applyBorder="1" applyAlignment="1">
      <alignment horizontal="center"/>
    </xf>
    <xf numFmtId="40" fontId="5" fillId="0" borderId="8" xfId="7" applyNumberFormat="1" applyFont="1" applyBorder="1" applyAlignment="1">
      <alignment horizontal="right"/>
    </xf>
    <xf numFmtId="40" fontId="3" fillId="0" borderId="0" xfId="0" applyNumberFormat="1" applyFont="1"/>
    <xf numFmtId="40" fontId="3" fillId="0" borderId="25" xfId="0" applyNumberFormat="1" applyFont="1" applyBorder="1"/>
    <xf numFmtId="0" fontId="3" fillId="0" borderId="10" xfId="7" applyFont="1" applyBorder="1"/>
    <xf numFmtId="0" fontId="3" fillId="4" borderId="1" xfId="7" applyFont="1" applyFill="1" applyBorder="1" applyAlignment="1">
      <alignment horizontal="center"/>
    </xf>
    <xf numFmtId="0" fontId="3" fillId="4" borderId="10" xfId="7" applyFont="1" applyFill="1" applyBorder="1" applyAlignment="1">
      <alignment horizontal="center"/>
    </xf>
    <xf numFmtId="0" fontId="3" fillId="5" borderId="1" xfId="7" applyFont="1" applyFill="1" applyBorder="1" applyAlignment="1">
      <alignment horizontal="center"/>
    </xf>
    <xf numFmtId="0" fontId="24" fillId="0" borderId="1" xfId="7" applyFont="1" applyBorder="1" applyAlignment="1">
      <alignment horizontal="left"/>
    </xf>
    <xf numFmtId="192" fontId="3" fillId="0" borderId="19" xfId="0" applyNumberFormat="1" applyFont="1" applyBorder="1"/>
    <xf numFmtId="0" fontId="3" fillId="0" borderId="10" xfId="7" applyFont="1" applyBorder="1" applyAlignment="1">
      <alignment horizontal="left"/>
    </xf>
    <xf numFmtId="0" fontId="3" fillId="5" borderId="10" xfId="7" applyFont="1" applyFill="1" applyBorder="1" applyAlignment="1">
      <alignment horizontal="center"/>
    </xf>
    <xf numFmtId="0" fontId="3" fillId="0" borderId="40" xfId="0" applyFont="1" applyBorder="1"/>
    <xf numFmtId="1" fontId="3" fillId="0" borderId="40" xfId="7" applyNumberFormat="1" applyFont="1" applyBorder="1" applyAlignment="1">
      <alignment horizontal="center"/>
    </xf>
    <xf numFmtId="0" fontId="3" fillId="0" borderId="40" xfId="7" applyFont="1" applyBorder="1" applyAlignment="1">
      <alignment horizontal="center"/>
    </xf>
    <xf numFmtId="40" fontId="3" fillId="0" borderId="40" xfId="0" applyNumberFormat="1" applyFont="1" applyBorder="1"/>
    <xf numFmtId="4" fontId="3" fillId="0" borderId="40" xfId="0" applyNumberFormat="1" applyFont="1" applyBorder="1"/>
    <xf numFmtId="0" fontId="3" fillId="6" borderId="1" xfId="7" applyFont="1" applyFill="1" applyBorder="1" applyAlignment="1">
      <alignment horizontal="center"/>
    </xf>
    <xf numFmtId="0" fontId="3" fillId="7" borderId="1" xfId="7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194" fontId="7" fillId="0" borderId="0" xfId="0" applyNumberFormat="1" applyFont="1"/>
    <xf numFmtId="194" fontId="7" fillId="0" borderId="17" xfId="1" applyNumberFormat="1" applyFont="1" applyBorder="1"/>
    <xf numFmtId="194" fontId="7" fillId="0" borderId="21" xfId="1" applyNumberFormat="1" applyFont="1" applyBorder="1"/>
    <xf numFmtId="194" fontId="7" fillId="0" borderId="22" xfId="1" applyNumberFormat="1" applyFont="1" applyBorder="1"/>
    <xf numFmtId="194" fontId="7" fillId="0" borderId="17" xfId="0" applyNumberFormat="1" applyFont="1" applyBorder="1"/>
    <xf numFmtId="194" fontId="7" fillId="0" borderId="22" xfId="0" applyNumberFormat="1" applyFont="1" applyBorder="1"/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3" fillId="0" borderId="15" xfId="0" applyFont="1" applyBorder="1" applyAlignment="1"/>
    <xf numFmtId="0" fontId="25" fillId="0" borderId="0" xfId="0" applyFont="1"/>
    <xf numFmtId="40" fontId="25" fillId="0" borderId="0" xfId="0" applyNumberFormat="1" applyFont="1"/>
    <xf numFmtId="40" fontId="25" fillId="0" borderId="0" xfId="1" applyNumberFormat="1" applyFont="1"/>
    <xf numFmtId="40" fontId="25" fillId="0" borderId="0" xfId="0" applyNumberFormat="1" applyFont="1" applyAlignment="1">
      <alignment horizontal="center"/>
    </xf>
    <xf numFmtId="40" fontId="25" fillId="0" borderId="0" xfId="1" applyNumberFormat="1" applyFont="1" applyAlignment="1">
      <alignment horizontal="center"/>
    </xf>
    <xf numFmtId="0" fontId="25" fillId="0" borderId="0" xfId="0" applyFont="1" applyAlignment="1">
      <alignment horizontal="center"/>
    </xf>
    <xf numFmtId="40" fontId="25" fillId="0" borderId="20" xfId="0" applyNumberFormat="1" applyFont="1" applyBorder="1"/>
    <xf numFmtId="0" fontId="26" fillId="0" borderId="0" xfId="0" applyFont="1"/>
    <xf numFmtId="43" fontId="7" fillId="0" borderId="0" xfId="0" applyNumberFormat="1" applyFont="1"/>
    <xf numFmtId="43" fontId="8" fillId="0" borderId="0" xfId="0" applyNumberFormat="1" applyFont="1" applyBorder="1"/>
    <xf numFmtId="4" fontId="7" fillId="0" borderId="0" xfId="0" applyNumberFormat="1" applyFont="1"/>
    <xf numFmtId="43" fontId="8" fillId="0" borderId="0" xfId="0" applyNumberFormat="1" applyFont="1"/>
    <xf numFmtId="189" fontId="8" fillId="0" borderId="0" xfId="0" applyNumberFormat="1" applyFont="1" applyAlignment="1">
      <alignment vertical="center"/>
    </xf>
    <xf numFmtId="192" fontId="3" fillId="0" borderId="25" xfId="4" applyNumberFormat="1" applyFont="1" applyBorder="1"/>
    <xf numFmtId="192" fontId="19" fillId="0" borderId="0" xfId="1" applyNumberFormat="1" applyFont="1" applyFill="1"/>
    <xf numFmtId="1" fontId="3" fillId="0" borderId="1" xfId="7" applyNumberFormat="1" applyFont="1" applyBorder="1" applyAlignment="1">
      <alignment horizontal="center"/>
    </xf>
    <xf numFmtId="4" fontId="3" fillId="0" borderId="41" xfId="0" applyNumberFormat="1" applyFont="1" applyBorder="1"/>
    <xf numFmtId="4" fontId="3" fillId="0" borderId="1" xfId="0" applyNumberFormat="1" applyFont="1" applyBorder="1"/>
    <xf numFmtId="192" fontId="3" fillId="0" borderId="1" xfId="0" applyNumberFormat="1" applyFont="1" applyBorder="1"/>
    <xf numFmtId="0" fontId="3" fillId="0" borderId="41" xfId="7" applyFont="1" applyBorder="1" applyAlignment="1">
      <alignment horizontal="center"/>
    </xf>
    <xf numFmtId="0" fontId="3" fillId="0" borderId="41" xfId="0" applyFont="1" applyBorder="1"/>
    <xf numFmtId="191" fontId="3" fillId="0" borderId="1" xfId="0" applyNumberFormat="1" applyFont="1" applyBorder="1"/>
    <xf numFmtId="0" fontId="22" fillId="0" borderId="0" xfId="0" applyFont="1" applyAlignment="1">
      <alignment horizontal="center" vertical="top" wrapText="1"/>
    </xf>
    <xf numFmtId="0" fontId="22" fillId="0" borderId="0" xfId="0" applyFont="1"/>
    <xf numFmtId="187" fontId="22" fillId="0" borderId="0" xfId="0" applyNumberFormat="1" applyFont="1" applyFill="1"/>
    <xf numFmtId="187" fontId="22" fillId="0" borderId="0" xfId="0" applyNumberFormat="1" applyFont="1"/>
    <xf numFmtId="43" fontId="22" fillId="0" borderId="0" xfId="1" applyFont="1" applyBorder="1" applyAlignment="1">
      <alignment horizontal="right" vertical="top" wrapText="1"/>
    </xf>
    <xf numFmtId="43" fontId="22" fillId="0" borderId="20" xfId="1" applyFont="1" applyFill="1" applyBorder="1" applyAlignment="1">
      <alignment horizontal="right" vertical="top" wrapText="1"/>
    </xf>
    <xf numFmtId="0" fontId="7" fillId="0" borderId="0" xfId="0" applyFont="1" applyAlignment="1">
      <alignment horizontal="center"/>
    </xf>
    <xf numFmtId="189" fontId="8" fillId="0" borderId="0" xfId="0" applyNumberFormat="1" applyFont="1" applyAlignment="1">
      <alignment horizontal="center"/>
    </xf>
    <xf numFmtId="0" fontId="7" fillId="0" borderId="0" xfId="0" applyFont="1" applyAlignment="1"/>
    <xf numFmtId="0" fontId="21" fillId="0" borderId="0" xfId="0" applyFont="1" applyAlignment="1">
      <alignment horizontal="center"/>
    </xf>
    <xf numFmtId="0" fontId="12" fillId="0" borderId="25" xfId="0" applyFont="1" applyBorder="1"/>
    <xf numFmtId="0" fontId="3" fillId="0" borderId="28" xfId="0" applyFont="1" applyBorder="1" applyAlignment="1"/>
    <xf numFmtId="0" fontId="3" fillId="0" borderId="25" xfId="0" applyNumberFormat="1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5" fontId="3" fillId="0" borderId="16" xfId="0" applyNumberFormat="1" applyFont="1" applyBorder="1"/>
    <xf numFmtId="194" fontId="3" fillId="0" borderId="16" xfId="0" applyNumberFormat="1" applyFont="1" applyBorder="1"/>
    <xf numFmtId="0" fontId="3" fillId="0" borderId="30" xfId="0" applyFont="1" applyBorder="1"/>
    <xf numFmtId="187" fontId="3" fillId="0" borderId="28" xfId="4" applyFont="1" applyBorder="1"/>
    <xf numFmtId="187" fontId="3" fillId="0" borderId="1" xfId="4" applyFont="1" applyBorder="1"/>
    <xf numFmtId="39" fontId="3" fillId="0" borderId="26" xfId="3" applyNumberFormat="1" applyFont="1" applyBorder="1"/>
    <xf numFmtId="39" fontId="3" fillId="0" borderId="30" xfId="5" applyNumberFormat="1" applyFont="1" applyBorder="1"/>
    <xf numFmtId="39" fontId="3" fillId="0" borderId="26" xfId="5" applyNumberFormat="1" applyFont="1" applyBorder="1"/>
    <xf numFmtId="39" fontId="3" fillId="0" borderId="26" xfId="1" applyNumberFormat="1" applyFont="1" applyBorder="1"/>
    <xf numFmtId="39" fontId="3" fillId="0" borderId="15" xfId="3" applyNumberFormat="1" applyFont="1" applyBorder="1"/>
    <xf numFmtId="39" fontId="3" fillId="0" borderId="22" xfId="5" applyNumberFormat="1" applyFont="1" applyBorder="1"/>
    <xf numFmtId="39" fontId="3" fillId="0" borderId="15" xfId="5" applyNumberFormat="1" applyFont="1" applyBorder="1"/>
    <xf numFmtId="195" fontId="3" fillId="0" borderId="0" xfId="7" applyNumberFormat="1" applyFont="1"/>
    <xf numFmtId="192" fontId="7" fillId="0" borderId="0" xfId="0" applyNumberFormat="1" applyFont="1" applyBorder="1" applyAlignment="1"/>
    <xf numFmtId="43" fontId="19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190" fontId="7" fillId="0" borderId="22" xfId="0" applyNumberFormat="1" applyFont="1" applyBorder="1" applyAlignment="1">
      <alignment horizontal="center"/>
    </xf>
    <xf numFmtId="190" fontId="7" fillId="0" borderId="0" xfId="0" applyNumberFormat="1" applyFont="1" applyBorder="1" applyAlignment="1">
      <alignment horizontal="center"/>
    </xf>
    <xf numFmtId="190" fontId="27" fillId="0" borderId="0" xfId="0" applyNumberFormat="1" applyFont="1" applyBorder="1" applyAlignment="1">
      <alignment horizontal="center"/>
    </xf>
    <xf numFmtId="0" fontId="3" fillId="0" borderId="25" xfId="0" applyFont="1" applyBorder="1" applyAlignment="1"/>
    <xf numFmtId="40" fontId="3" fillId="0" borderId="16" xfId="4" applyNumberFormat="1" applyFont="1" applyBorder="1"/>
    <xf numFmtId="40" fontId="3" fillId="0" borderId="16" xfId="1" applyNumberFormat="1" applyFont="1" applyBorder="1"/>
    <xf numFmtId="43" fontId="3" fillId="0" borderId="0" xfId="1" applyFont="1" applyBorder="1"/>
    <xf numFmtId="40" fontId="3" fillId="0" borderId="25" xfId="1" applyNumberFormat="1" applyFont="1" applyBorder="1"/>
    <xf numFmtId="40" fontId="3" fillId="0" borderId="25" xfId="4" applyNumberFormat="1" applyFont="1" applyBorder="1"/>
    <xf numFmtId="188" fontId="3" fillId="0" borderId="0" xfId="7" applyNumberFormat="1" applyFont="1" applyAlignment="1">
      <alignment horizontal="right"/>
    </xf>
    <xf numFmtId="43" fontId="3" fillId="0" borderId="28" xfId="1" applyFont="1" applyBorder="1" applyAlignment="1">
      <alignment horizontal="center"/>
    </xf>
    <xf numFmtId="43" fontId="22" fillId="0" borderId="20" xfId="1" applyFont="1" applyBorder="1"/>
    <xf numFmtId="43" fontId="22" fillId="0" borderId="0" xfId="1" applyFont="1"/>
    <xf numFmtId="43" fontId="22" fillId="0" borderId="20" xfId="1" applyFont="1" applyFill="1" applyBorder="1"/>
    <xf numFmtId="188" fontId="3" fillId="0" borderId="1" xfId="0" applyNumberFormat="1" applyFont="1" applyBorder="1"/>
    <xf numFmtId="187" fontId="15" fillId="0" borderId="0" xfId="0" applyNumberFormat="1" applyFont="1"/>
    <xf numFmtId="39" fontId="3" fillId="0" borderId="0" xfId="7" applyNumberFormat="1" applyFont="1" applyAlignment="1">
      <alignment horizontal="center"/>
    </xf>
    <xf numFmtId="39" fontId="3" fillId="0" borderId="0" xfId="1" applyNumberFormat="1" applyFont="1" applyAlignment="1">
      <alignment horizontal="center"/>
    </xf>
    <xf numFmtId="39" fontId="3" fillId="0" borderId="22" xfId="1" applyNumberFormat="1" applyFont="1" applyBorder="1" applyAlignment="1">
      <alignment horizontal="center"/>
    </xf>
    <xf numFmtId="39" fontId="3" fillId="0" borderId="20" xfId="7" applyNumberFormat="1" applyFont="1" applyBorder="1" applyAlignment="1">
      <alignment horizontal="center"/>
    </xf>
    <xf numFmtId="43" fontId="22" fillId="0" borderId="0" xfId="1" applyFont="1" applyBorder="1"/>
    <xf numFmtId="43" fontId="22" fillId="0" borderId="0" xfId="1" applyFont="1" applyFill="1" applyBorder="1"/>
    <xf numFmtId="0" fontId="7" fillId="0" borderId="0" xfId="0" applyFont="1" applyAlignment="1">
      <alignment horizontal="center"/>
    </xf>
    <xf numFmtId="190" fontId="7" fillId="0" borderId="22" xfId="0" applyNumberFormat="1" applyFont="1" applyFill="1" applyBorder="1" applyAlignment="1">
      <alignment horizontal="center"/>
    </xf>
    <xf numFmtId="43" fontId="19" fillId="0" borderId="0" xfId="1" applyFont="1" applyFill="1" applyBorder="1"/>
    <xf numFmtId="0" fontId="8" fillId="0" borderId="0" xfId="0" quotePrefix="1" applyFont="1" applyAlignment="1">
      <alignment horizontal="center"/>
    </xf>
    <xf numFmtId="0" fontId="21" fillId="0" borderId="0" xfId="0" applyFont="1"/>
    <xf numFmtId="0" fontId="27" fillId="0" borderId="0" xfId="0" applyFont="1"/>
    <xf numFmtId="4" fontId="7" fillId="0" borderId="0" xfId="0" applyNumberFormat="1" applyFont="1" applyBorder="1"/>
    <xf numFmtId="4" fontId="7" fillId="0" borderId="22" xfId="0" applyNumberFormat="1" applyFont="1" applyBorder="1"/>
    <xf numFmtId="187" fontId="7" fillId="0" borderId="20" xfId="0" applyNumberFormat="1" applyFont="1" applyBorder="1"/>
    <xf numFmtId="43" fontId="7" fillId="0" borderId="0" xfId="1" applyFont="1" applyAlignment="1">
      <alignment horizontal="center"/>
    </xf>
    <xf numFmtId="43" fontId="7" fillId="0" borderId="0" xfId="1" applyFont="1"/>
    <xf numFmtId="3" fontId="7" fillId="0" borderId="0" xfId="0" applyNumberFormat="1" applyFont="1"/>
    <xf numFmtId="43" fontId="7" fillId="0" borderId="22" xfId="1" applyFont="1" applyBorder="1"/>
    <xf numFmtId="43" fontId="7" fillId="0" borderId="20" xfId="0" applyNumberFormat="1" applyFont="1" applyBorder="1"/>
    <xf numFmtId="43" fontId="8" fillId="0" borderId="20" xfId="0" applyNumberFormat="1" applyFont="1" applyBorder="1"/>
    <xf numFmtId="192" fontId="7" fillId="0" borderId="0" xfId="1" applyNumberFormat="1" applyFont="1" applyBorder="1" applyAlignment="1">
      <alignment horizontal="right"/>
    </xf>
    <xf numFmtId="192" fontId="7" fillId="0" borderId="22" xfId="1" applyNumberFormat="1" applyFont="1" applyBorder="1" applyAlignment="1">
      <alignment horizontal="right"/>
    </xf>
    <xf numFmtId="192" fontId="8" fillId="0" borderId="0" xfId="1" applyNumberFormat="1" applyFont="1" applyBorder="1"/>
    <xf numFmtId="0" fontId="19" fillId="0" borderId="0" xfId="0" applyFont="1" applyAlignment="1">
      <alignment vertical="top" wrapText="1"/>
    </xf>
    <xf numFmtId="43" fontId="7" fillId="0" borderId="0" xfId="1" applyNumberFormat="1" applyFont="1" applyBorder="1" applyAlignment="1">
      <alignment horizontal="center"/>
    </xf>
    <xf numFmtId="43" fontId="19" fillId="8" borderId="0" xfId="0" applyNumberFormat="1" applyFont="1" applyFill="1"/>
    <xf numFmtId="43" fontId="7" fillId="8" borderId="0" xfId="1" applyFont="1" applyFill="1" applyBorder="1" applyAlignment="1">
      <alignment horizontal="center"/>
    </xf>
    <xf numFmtId="43" fontId="19" fillId="8" borderId="0" xfId="1" applyFont="1" applyFill="1" applyBorder="1"/>
    <xf numFmtId="43" fontId="29" fillId="0" borderId="0" xfId="0" applyNumberFormat="1" applyFont="1" applyFill="1"/>
    <xf numFmtId="43" fontId="29" fillId="8" borderId="0" xfId="1" applyFont="1" applyFill="1" applyBorder="1"/>
    <xf numFmtId="187" fontId="19" fillId="0" borderId="0" xfId="0" applyNumberFormat="1" applyFont="1"/>
    <xf numFmtId="0" fontId="1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3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43" fontId="3" fillId="0" borderId="0" xfId="1" applyFont="1" applyBorder="1" applyAlignment="1">
      <alignment horizontal="right"/>
    </xf>
    <xf numFmtId="43" fontId="3" fillId="0" borderId="16" xfId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4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43" fontId="3" fillId="0" borderId="41" xfId="1" applyFont="1" applyBorder="1" applyAlignment="1">
      <alignment horizontal="right"/>
    </xf>
    <xf numFmtId="43" fontId="3" fillId="0" borderId="1" xfId="1" applyFont="1" applyBorder="1" applyAlignment="1">
      <alignment horizontal="right"/>
    </xf>
    <xf numFmtId="0" fontId="3" fillId="0" borderId="14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43" fontId="3" fillId="0" borderId="22" xfId="1" applyFont="1" applyBorder="1" applyAlignment="1">
      <alignment horizontal="right"/>
    </xf>
    <xf numFmtId="43" fontId="3" fillId="0" borderId="15" xfId="1" applyFont="1" applyBorder="1" applyAlignment="1">
      <alignment horizontal="right"/>
    </xf>
    <xf numFmtId="0" fontId="3" fillId="0" borderId="0" xfId="0" applyFont="1" applyAlignment="1">
      <alignment horizontal="center"/>
    </xf>
    <xf numFmtId="43" fontId="3" fillId="3" borderId="0" xfId="0" applyNumberFormat="1" applyFont="1" applyFill="1"/>
    <xf numFmtId="0" fontId="22" fillId="0" borderId="0" xfId="0" applyFont="1" applyFill="1"/>
    <xf numFmtId="0" fontId="23" fillId="0" borderId="0" xfId="0" applyFont="1" applyFill="1"/>
    <xf numFmtId="0" fontId="19" fillId="0" borderId="0" xfId="0" applyFont="1" applyFill="1" applyAlignment="1">
      <alignment horizontal="center" vertical="top" wrapText="1"/>
    </xf>
    <xf numFmtId="190" fontId="7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>
      <alignment vertical="top" wrapText="1"/>
    </xf>
    <xf numFmtId="43" fontId="7" fillId="0" borderId="0" xfId="1" applyFont="1" applyFill="1" applyBorder="1" applyAlignment="1">
      <alignment horizontal="center"/>
    </xf>
    <xf numFmtId="43" fontId="7" fillId="0" borderId="0" xfId="1" applyNumberFormat="1" applyFont="1" applyFill="1" applyBorder="1" applyAlignment="1">
      <alignment horizontal="center"/>
    </xf>
    <xf numFmtId="43" fontId="22" fillId="0" borderId="0" xfId="1" applyFont="1" applyFill="1" applyBorder="1" applyAlignment="1">
      <alignment horizontal="right" vertical="top" wrapText="1"/>
    </xf>
    <xf numFmtId="0" fontId="19" fillId="0" borderId="0" xfId="0" applyFont="1" applyAlignment="1">
      <alignment vertical="top"/>
    </xf>
    <xf numFmtId="190" fontId="7" fillId="0" borderId="17" xfId="0" applyNumberFormat="1" applyFont="1" applyBorder="1" applyAlignment="1">
      <alignment horizontal="center"/>
    </xf>
    <xf numFmtId="43" fontId="7" fillId="0" borderId="0" xfId="0" applyNumberFormat="1" applyFont="1" applyBorder="1"/>
    <xf numFmtId="0" fontId="3" fillId="0" borderId="17" xfId="0" applyFont="1" applyBorder="1" applyAlignment="1">
      <alignment horizontal="center"/>
    </xf>
    <xf numFmtId="43" fontId="3" fillId="0" borderId="27" xfId="1" applyFont="1" applyBorder="1"/>
    <xf numFmtId="43" fontId="3" fillId="0" borderId="29" xfId="1" applyFont="1" applyBorder="1"/>
    <xf numFmtId="43" fontId="3" fillId="0" borderId="28" xfId="1" applyFont="1" applyBorder="1"/>
    <xf numFmtId="43" fontId="3" fillId="0" borderId="17" xfId="1" applyFont="1" applyBorder="1"/>
    <xf numFmtId="187" fontId="3" fillId="8" borderId="26" xfId="4" applyFont="1" applyFill="1" applyBorder="1"/>
    <xf numFmtId="4" fontId="3" fillId="0" borderId="0" xfId="7" applyNumberFormat="1" applyFont="1" applyAlignment="1">
      <alignment horizontal="right"/>
    </xf>
    <xf numFmtId="187" fontId="3" fillId="0" borderId="0" xfId="4" applyFont="1" applyBorder="1" applyAlignment="1">
      <alignment horizontal="right"/>
    </xf>
    <xf numFmtId="4" fontId="3" fillId="0" borderId="0" xfId="7" applyNumberFormat="1" applyFont="1" applyBorder="1" applyAlignment="1">
      <alignment horizontal="right"/>
    </xf>
    <xf numFmtId="4" fontId="3" fillId="0" borderId="22" xfId="7" applyNumberFormat="1" applyFont="1" applyBorder="1" applyAlignment="1">
      <alignment horizontal="right"/>
    </xf>
    <xf numFmtId="189" fontId="8" fillId="0" borderId="0" xfId="0" applyNumberFormat="1" applyFont="1" applyAlignment="1">
      <alignment horizontal="center"/>
    </xf>
    <xf numFmtId="0" fontId="3" fillId="0" borderId="2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87" fontId="7" fillId="0" borderId="0" xfId="0" applyNumberFormat="1" applyFont="1" applyFill="1"/>
    <xf numFmtId="192" fontId="8" fillId="0" borderId="20" xfId="0" applyNumberFormat="1" applyFont="1" applyFill="1" applyBorder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3" fontId="3" fillId="0" borderId="27" xfId="5" applyNumberFormat="1" applyFont="1" applyBorder="1"/>
    <xf numFmtId="43" fontId="3" fillId="0" borderId="29" xfId="5" applyNumberFormat="1" applyFont="1" applyBorder="1"/>
    <xf numFmtId="0" fontId="30" fillId="0" borderId="0" xfId="0" applyFont="1" applyAlignment="1"/>
    <xf numFmtId="0" fontId="22" fillId="0" borderId="0" xfId="0" applyFont="1" applyAlignment="1"/>
    <xf numFmtId="0" fontId="22" fillId="0" borderId="0" xfId="0" applyFont="1" applyFill="1" applyAlignment="1"/>
    <xf numFmtId="189" fontId="8" fillId="0" borderId="0" xfId="0" applyNumberFormat="1" applyFont="1" applyAlignment="1"/>
    <xf numFmtId="0" fontId="21" fillId="0" borderId="0" xfId="0" applyFont="1" applyAlignment="1"/>
    <xf numFmtId="0" fontId="8" fillId="0" borderId="0" xfId="0" applyFont="1" applyAlignment="1"/>
    <xf numFmtId="43" fontId="7" fillId="0" borderId="0" xfId="1" applyFont="1" applyBorder="1"/>
    <xf numFmtId="192" fontId="8" fillId="0" borderId="0" xfId="0" applyNumberFormat="1" applyFont="1" applyBorder="1"/>
    <xf numFmtId="0" fontId="7" fillId="0" borderId="0" xfId="0" applyFont="1" applyAlignment="1">
      <alignment horizontal="center"/>
    </xf>
    <xf numFmtId="0" fontId="7" fillId="0" borderId="0" xfId="0" applyFont="1" applyAlignment="1"/>
    <xf numFmtId="43" fontId="7" fillId="0" borderId="0" xfId="1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6" applyNumberFormat="1" applyFont="1" applyFill="1" applyAlignment="1">
      <alignment horizontal="center"/>
    </xf>
    <xf numFmtId="0" fontId="8" fillId="0" borderId="0" xfId="6" applyFont="1" applyFill="1" applyAlignment="1">
      <alignment horizontal="center"/>
    </xf>
    <xf numFmtId="189" fontId="8" fillId="0" borderId="0" xfId="0" applyNumberFormat="1" applyFont="1" applyAlignment="1">
      <alignment horizontal="center"/>
    </xf>
    <xf numFmtId="43" fontId="22" fillId="0" borderId="0" xfId="1" applyFont="1" applyBorder="1" applyAlignment="1">
      <alignment horizontal="center"/>
    </xf>
    <xf numFmtId="43" fontId="19" fillId="0" borderId="0" xfId="1" applyFont="1" applyBorder="1" applyAlignment="1">
      <alignment horizontal="right"/>
    </xf>
    <xf numFmtId="0" fontId="21" fillId="0" borderId="0" xfId="0" applyFont="1" applyAlignment="1">
      <alignment horizontal="center"/>
    </xf>
    <xf numFmtId="0" fontId="7" fillId="0" borderId="0" xfId="0" applyFont="1" applyAlignment="1"/>
    <xf numFmtId="189" fontId="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/>
    </xf>
    <xf numFmtId="43" fontId="19" fillId="0" borderId="22" xfId="1" applyFont="1" applyBorder="1" applyAlignment="1">
      <alignment horizontal="right"/>
    </xf>
    <xf numFmtId="0" fontId="22" fillId="0" borderId="0" xfId="0" applyFont="1" applyAlignment="1">
      <alignment horizontal="center" vertical="top"/>
    </xf>
    <xf numFmtId="0" fontId="19" fillId="0" borderId="0" xfId="0" applyFont="1" applyFill="1" applyAlignment="1">
      <alignment horizontal="center"/>
    </xf>
    <xf numFmtId="0" fontId="19" fillId="0" borderId="0" xfId="0" applyFont="1" applyFill="1" applyBorder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19" fillId="0" borderId="0" xfId="0" applyFont="1" applyBorder="1" applyAlignment="1">
      <alignment horizontal="center" vertical="top" wrapText="1"/>
    </xf>
    <xf numFmtId="43" fontId="28" fillId="0" borderId="0" xfId="1" applyFont="1" applyBorder="1" applyAlignment="1">
      <alignment horizontal="center"/>
    </xf>
    <xf numFmtId="187" fontId="7" fillId="0" borderId="0" xfId="0" applyNumberFormat="1" applyFont="1" applyAlignment="1">
      <alignment horizontal="right"/>
    </xf>
    <xf numFmtId="0" fontId="3" fillId="0" borderId="38" xfId="5" applyFont="1" applyBorder="1" applyAlignment="1">
      <alignment horizontal="center"/>
    </xf>
    <xf numFmtId="0" fontId="3" fillId="0" borderId="18" xfId="5" applyFont="1" applyBorder="1" applyAlignment="1">
      <alignment horizontal="center"/>
    </xf>
  </cellXfs>
  <cellStyles count="9">
    <cellStyle name="Comma" xfId="1" builtinId="3"/>
    <cellStyle name="Comma 4" xfId="8"/>
    <cellStyle name="Normal" xfId="0" builtinId="0"/>
    <cellStyle name="Percent" xfId="2" builtinId="5"/>
    <cellStyle name="เครื่องหมายจุลภาค 2" xfId="3"/>
    <cellStyle name="เครื่องหมายจุลภาค_TB2003" xfId="4"/>
    <cellStyle name="ปกติ 2" xfId="5"/>
    <cellStyle name="ปกติ_Lead SheetKCH 2003.NOUNG" xfId="6"/>
    <cellStyle name="ปกติ_TB2003" xfId="7"/>
  </cellStyles>
  <dxfs count="0"/>
  <tableStyles count="0" defaultTableStyle="TableStyleMedium9" defaultPivotStyle="PivotStyleLight16"/>
  <colors>
    <mruColors>
      <color rgb="FF00CC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&#3623;&#3636;&#3607;&#3618;&#3660;&#3648;&#3610;&#3597;&#3592;&#3634;-5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รายการปรับปรุง"/>
      <sheetName val="งบแสดส่วนผู้ถือ"/>
      <sheetName val="งบปี53"/>
      <sheetName val="งบปี53 (2)"/>
      <sheetName val="รายละเอียดประกอบงบ"/>
      <sheetName val="รายละเอียดประกอบงบ (2)"/>
      <sheetName val="ภาษี"/>
      <sheetName val="wps&amp;wpl"/>
      <sheetName val="C1"/>
      <sheetName val="C1.1"/>
      <sheetName val="C2"/>
      <sheetName val="C2.1"/>
      <sheetName val="C2.2"/>
      <sheetName val="C3"/>
      <sheetName val="C3.1"/>
      <sheetName val="C4"/>
      <sheetName val="C4.0"/>
      <sheetName val="C4.1"/>
      <sheetName val="C4.2"/>
      <sheetName val="C5"/>
      <sheetName val="C6"/>
      <sheetName val="C7"/>
      <sheetName val="C8"/>
      <sheetName val="C9"/>
      <sheetName val="C10"/>
      <sheetName val="C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ลูกค้า ห้างหุ้นส่วนจำกัด วิทย์เบญจา</v>
          </cell>
        </row>
        <row r="3">
          <cell r="A3" t="str">
            <v>ณ 31 ธันวาคม 2553</v>
          </cell>
        </row>
        <row r="5">
          <cell r="D5">
            <v>2553</v>
          </cell>
          <cell r="E5" t="str">
            <v>Dr</v>
          </cell>
          <cell r="F5" t="str">
            <v>Cr</v>
          </cell>
          <cell r="G5">
            <v>2553</v>
          </cell>
          <cell r="H5">
            <v>2552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7">
          <cell r="A7" t="str">
            <v>วัสดุคงเหลือต้นงวด</v>
          </cell>
        </row>
        <row r="27">
          <cell r="I27">
            <v>13411185.09</v>
          </cell>
        </row>
      </sheetData>
      <sheetData sheetId="25">
        <row r="10">
          <cell r="J10">
            <v>350971.87</v>
          </cell>
        </row>
        <row r="38">
          <cell r="J38">
            <v>10321837.389999999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zoomScale="120" workbookViewId="0">
      <selection activeCell="B5" sqref="B5"/>
    </sheetView>
  </sheetViews>
  <sheetFormatPr defaultColWidth="9.140625" defaultRowHeight="21"/>
  <cols>
    <col min="1" max="1" width="9.140625" style="1"/>
    <col min="2" max="2" width="10.5703125" style="1" customWidth="1"/>
    <col min="3" max="3" width="10.42578125" style="1" customWidth="1"/>
    <col min="4" max="4" width="21.5703125" style="1" customWidth="1"/>
    <col min="5" max="5" width="8" style="1" customWidth="1"/>
    <col min="6" max="6" width="16" style="1" customWidth="1"/>
    <col min="7" max="7" width="16.7109375" style="1" customWidth="1"/>
    <col min="8" max="16384" width="9.140625" style="1"/>
  </cols>
  <sheetData>
    <row r="1" spans="1:7">
      <c r="A1" s="41" t="str">
        <f>+C1.1!A1</f>
        <v>ลูกค้า ห้างหุ้นส่วนจำกัด จรัญ อำภา ทรานสปอร์ต</v>
      </c>
    </row>
    <row r="2" spans="1:7">
      <c r="A2" s="41" t="s">
        <v>257</v>
      </c>
    </row>
    <row r="3" spans="1:7">
      <c r="A3" s="41" t="str">
        <f>+C1.1!A3</f>
        <v>ณ 31 ธันวาคม 2559</v>
      </c>
    </row>
    <row r="4" spans="1:7">
      <c r="A4" s="436" t="s">
        <v>61</v>
      </c>
      <c r="B4" s="501" t="s">
        <v>62</v>
      </c>
      <c r="C4" s="502"/>
      <c r="D4" s="503"/>
      <c r="E4" s="436" t="s">
        <v>63</v>
      </c>
      <c r="F4" s="437" t="s">
        <v>64</v>
      </c>
      <c r="G4" s="436" t="s">
        <v>65</v>
      </c>
    </row>
    <row r="5" spans="1:7">
      <c r="A5" s="325">
        <v>1</v>
      </c>
      <c r="B5" s="438" t="s">
        <v>226</v>
      </c>
      <c r="C5" s="439"/>
      <c r="D5" s="440"/>
      <c r="E5" s="325"/>
      <c r="F5" s="441">
        <v>2000</v>
      </c>
      <c r="G5" s="442"/>
    </row>
    <row r="6" spans="1:7">
      <c r="A6" s="443"/>
      <c r="B6" s="444"/>
      <c r="C6" s="445" t="s">
        <v>252</v>
      </c>
      <c r="D6" s="446"/>
      <c r="E6" s="443"/>
      <c r="F6" s="447"/>
      <c r="G6" s="448">
        <f>F5</f>
        <v>2000</v>
      </c>
    </row>
    <row r="7" spans="1:7">
      <c r="A7" s="443"/>
      <c r="B7" s="444" t="s">
        <v>253</v>
      </c>
      <c r="C7" s="445"/>
      <c r="D7" s="446"/>
      <c r="E7" s="443"/>
      <c r="F7" s="447"/>
      <c r="G7" s="448"/>
    </row>
    <row r="8" spans="1:7">
      <c r="A8" s="443"/>
      <c r="B8" s="444"/>
      <c r="C8" s="445"/>
      <c r="D8" s="446"/>
      <c r="E8" s="443"/>
      <c r="F8" s="447"/>
      <c r="G8" s="448"/>
    </row>
    <row r="9" spans="1:7">
      <c r="A9" s="443">
        <v>2</v>
      </c>
      <c r="B9" s="444" t="s">
        <v>66</v>
      </c>
      <c r="C9" s="445"/>
      <c r="D9" s="446"/>
      <c r="E9" s="443"/>
      <c r="F9" s="447"/>
      <c r="G9" s="448"/>
    </row>
    <row r="10" spans="1:7">
      <c r="A10" s="443"/>
      <c r="B10" s="444"/>
      <c r="C10" s="445" t="s">
        <v>256</v>
      </c>
      <c r="D10" s="446"/>
      <c r="E10" s="443"/>
      <c r="F10" s="447"/>
      <c r="G10" s="448">
        <f>F9</f>
        <v>0</v>
      </c>
    </row>
    <row r="11" spans="1:7">
      <c r="A11" s="443"/>
      <c r="B11" s="444"/>
      <c r="C11" s="445" t="s">
        <v>255</v>
      </c>
      <c r="D11" s="446"/>
      <c r="E11" s="443"/>
      <c r="F11" s="447"/>
      <c r="G11" s="448"/>
    </row>
    <row r="12" spans="1:7">
      <c r="A12" s="443"/>
      <c r="B12" s="444" t="s">
        <v>254</v>
      </c>
      <c r="C12" s="445"/>
      <c r="D12" s="446"/>
      <c r="E12" s="443"/>
      <c r="F12" s="447"/>
      <c r="G12" s="448"/>
    </row>
    <row r="13" spans="1:7">
      <c r="A13" s="46"/>
      <c r="B13" s="449"/>
      <c r="C13" s="450"/>
      <c r="D13" s="451"/>
      <c r="E13" s="46"/>
      <c r="F13" s="452"/>
      <c r="G13" s="453"/>
    </row>
    <row r="14" spans="1:7">
      <c r="E14" s="454"/>
    </row>
    <row r="15" spans="1:7" hidden="1">
      <c r="F15" s="455">
        <f>SUM(F5:F14)</f>
        <v>2000</v>
      </c>
      <c r="G15" s="455">
        <f>SUM(G5:G14)</f>
        <v>2000</v>
      </c>
    </row>
  </sheetData>
  <mergeCells count="1">
    <mergeCell ref="B4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1"/>
  <sheetViews>
    <sheetView topLeftCell="A61" zoomScale="120" zoomScaleNormal="85" workbookViewId="0">
      <selection activeCell="A74" sqref="A74"/>
    </sheetView>
  </sheetViews>
  <sheetFormatPr defaultColWidth="9.140625" defaultRowHeight="21"/>
  <cols>
    <col min="1" max="1" width="37.42578125" style="2" bestFit="1" customWidth="1"/>
    <col min="2" max="2" width="8" style="3" customWidth="1"/>
    <col min="3" max="3" width="16.28515625" style="3" customWidth="1"/>
    <col min="4" max="4" width="16.140625" style="3" customWidth="1"/>
    <col min="5" max="5" width="15.140625" style="3" customWidth="1"/>
    <col min="6" max="6" width="16.5703125" style="3" customWidth="1"/>
    <col min="7" max="7" width="16.5703125" style="2" customWidth="1"/>
    <col min="8" max="8" width="10" style="2" bestFit="1" customWidth="1"/>
    <col min="9" max="16384" width="9.140625" style="2"/>
  </cols>
  <sheetData>
    <row r="1" spans="1:12" s="1" customFormat="1" ht="17.25" customHeight="1">
      <c r="A1" s="41" t="str">
        <f>+C1.1!A1</f>
        <v>ลูกค้า ห้างหุ้นส่วนจำกัด จรัญ อำภา ทรานสปอร์ต</v>
      </c>
      <c r="B1" s="41"/>
      <c r="C1" s="41"/>
      <c r="D1" s="41"/>
      <c r="E1" s="41" t="s">
        <v>7</v>
      </c>
      <c r="F1" s="41" t="s">
        <v>29</v>
      </c>
      <c r="G1" s="41"/>
      <c r="H1" s="41"/>
      <c r="I1" s="41"/>
      <c r="J1" s="41"/>
      <c r="K1" s="41"/>
      <c r="L1" s="41"/>
    </row>
    <row r="2" spans="1:12" s="1" customFormat="1" ht="17.25" customHeight="1">
      <c r="A2" s="41" t="s">
        <v>17</v>
      </c>
      <c r="B2" s="41"/>
      <c r="C2" s="41"/>
      <c r="D2" s="41"/>
      <c r="E2" s="41" t="s">
        <v>8</v>
      </c>
      <c r="F2" s="41" t="s">
        <v>9</v>
      </c>
      <c r="G2" s="41"/>
      <c r="H2" s="41"/>
      <c r="I2" s="41"/>
      <c r="J2" s="41"/>
    </row>
    <row r="3" spans="1:12" s="1" customFormat="1" ht="17.25" customHeight="1">
      <c r="A3" s="41" t="str">
        <f>+C1.1!A3</f>
        <v>ณ 31 ธันวาคม 2559</v>
      </c>
      <c r="B3" s="41"/>
      <c r="C3" s="41"/>
      <c r="D3" s="41"/>
      <c r="E3" s="41" t="s">
        <v>10</v>
      </c>
      <c r="F3" s="41" t="s">
        <v>9</v>
      </c>
    </row>
    <row r="4" spans="1:12" s="1" customFormat="1" ht="17.25" customHeight="1">
      <c r="A4" s="11" t="s">
        <v>0</v>
      </c>
      <c r="B4" s="12" t="s">
        <v>1</v>
      </c>
      <c r="C4" s="11" t="s">
        <v>2</v>
      </c>
      <c r="D4" s="501" t="s">
        <v>3</v>
      </c>
      <c r="E4" s="503"/>
      <c r="F4" s="11" t="s">
        <v>4</v>
      </c>
      <c r="G4" s="45" t="s">
        <v>48</v>
      </c>
    </row>
    <row r="5" spans="1:12" s="1" customFormat="1" ht="17.25" customHeight="1">
      <c r="A5" s="13"/>
      <c r="B5" s="14"/>
      <c r="C5" s="46">
        <f>+C1.1!D5</f>
        <v>2560</v>
      </c>
      <c r="D5" s="46" t="str">
        <f>+C1.1!E5</f>
        <v>Dr</v>
      </c>
      <c r="E5" s="46" t="str">
        <f>+C1.1!F5</f>
        <v>Cr</v>
      </c>
      <c r="F5" s="46">
        <f>+C1.1!G5</f>
        <v>2560</v>
      </c>
      <c r="G5" s="46">
        <f>+C1.1!H5</f>
        <v>2559</v>
      </c>
    </row>
    <row r="6" spans="1:12" s="1" customFormat="1" ht="17.25" customHeight="1">
      <c r="A6" s="20" t="s">
        <v>21</v>
      </c>
      <c r="B6" s="10"/>
      <c r="C6" s="22"/>
      <c r="D6" s="35"/>
      <c r="E6" s="22"/>
      <c r="F6" s="22"/>
      <c r="G6" s="42"/>
    </row>
    <row r="7" spans="1:12" s="1" customFormat="1">
      <c r="A7" s="6" t="s">
        <v>20</v>
      </c>
      <c r="B7" s="5"/>
      <c r="C7" s="4"/>
      <c r="D7" s="23"/>
      <c r="E7" s="23"/>
      <c r="F7" s="23"/>
      <c r="G7" s="36"/>
    </row>
    <row r="8" spans="1:12">
      <c r="A8" s="7" t="s">
        <v>58</v>
      </c>
      <c r="B8" s="311" t="s">
        <v>153</v>
      </c>
      <c r="C8" s="23">
        <f>+C1.1!D12</f>
        <v>328376.59999999998</v>
      </c>
      <c r="D8" s="24">
        <f>C1.1!E12</f>
        <v>0</v>
      </c>
      <c r="E8" s="36">
        <f>C1.1!F12</f>
        <v>0</v>
      </c>
      <c r="F8" s="24">
        <f>SUM(C8+D8-E8)</f>
        <v>328376.59999999998</v>
      </c>
      <c r="G8" s="24">
        <f>+C1.1!H12</f>
        <v>399193.27</v>
      </c>
    </row>
    <row r="9" spans="1:12">
      <c r="A9" s="7" t="s">
        <v>293</v>
      </c>
      <c r="B9" s="311" t="s">
        <v>154</v>
      </c>
      <c r="C9" s="24">
        <f>+C1.3!D18</f>
        <v>220602.23999999999</v>
      </c>
      <c r="D9" s="24">
        <f>C1.3!E18</f>
        <v>0</v>
      </c>
      <c r="E9" s="24">
        <f>C1.3!F18</f>
        <v>0</v>
      </c>
      <c r="F9" s="24">
        <f>SUM(C9+D9-E9)</f>
        <v>220602.23999999999</v>
      </c>
      <c r="G9" s="24">
        <f>C1.3!H18</f>
        <v>839207.8</v>
      </c>
    </row>
    <row r="10" spans="1:12">
      <c r="A10" s="7" t="s">
        <v>150</v>
      </c>
      <c r="B10" s="311" t="s">
        <v>155</v>
      </c>
      <c r="C10" s="24">
        <f>C1.4!D10</f>
        <v>3600000</v>
      </c>
      <c r="D10" s="24">
        <f>C1.4!E10</f>
        <v>0</v>
      </c>
      <c r="E10" s="24">
        <f>C1.4!F10</f>
        <v>0</v>
      </c>
      <c r="F10" s="24">
        <f>SUM(C10+D10-E10)</f>
        <v>3600000</v>
      </c>
      <c r="G10" s="24">
        <f>C1.4!H10</f>
        <v>2600000</v>
      </c>
    </row>
    <row r="11" spans="1:12">
      <c r="A11" s="7" t="s">
        <v>151</v>
      </c>
      <c r="B11" s="311" t="s">
        <v>156</v>
      </c>
      <c r="C11" s="24">
        <f>C1.5!D11</f>
        <v>0</v>
      </c>
      <c r="D11" s="24"/>
      <c r="E11" s="24"/>
      <c r="F11" s="24">
        <f>SUM(C11+D11-E11)</f>
        <v>0</v>
      </c>
      <c r="G11" s="24">
        <f>C1.5!H11</f>
        <v>0</v>
      </c>
    </row>
    <row r="12" spans="1:12">
      <c r="A12" s="310" t="s">
        <v>100</v>
      </c>
      <c r="B12" s="312" t="s">
        <v>157</v>
      </c>
      <c r="C12" s="34">
        <f>+C1.6!D16</f>
        <v>148063.77000000002</v>
      </c>
      <c r="D12" s="34">
        <f>C1.6!E16</f>
        <v>0</v>
      </c>
      <c r="E12" s="34">
        <f>C1.6!F16</f>
        <v>104809.13</v>
      </c>
      <c r="F12" s="29">
        <f>SUM(C12+D12-E12)</f>
        <v>43254.640000000014</v>
      </c>
      <c r="G12" s="29">
        <f>C1.6!H16</f>
        <v>2593.36</v>
      </c>
    </row>
    <row r="13" spans="1:12">
      <c r="A13" s="8" t="s">
        <v>19</v>
      </c>
      <c r="B13" s="8"/>
      <c r="C13" s="30">
        <f>SUM(C8:C12)</f>
        <v>4297042.6099999994</v>
      </c>
      <c r="D13" s="30">
        <f>SUM(D8:D12)</f>
        <v>0</v>
      </c>
      <c r="E13" s="30">
        <f>SUM(E8:E12)</f>
        <v>104809.13</v>
      </c>
      <c r="F13" s="30">
        <f>SUM(F8:F12)</f>
        <v>4192233.48</v>
      </c>
      <c r="G13" s="48">
        <f>SUM(G8:G12)</f>
        <v>3840994.43</v>
      </c>
    </row>
    <row r="14" spans="1:12">
      <c r="A14" s="6" t="s">
        <v>20</v>
      </c>
      <c r="B14" s="8"/>
      <c r="C14" s="34"/>
      <c r="D14" s="34"/>
      <c r="E14" s="34"/>
      <c r="F14" s="37"/>
      <c r="G14" s="126"/>
    </row>
    <row r="15" spans="1:12">
      <c r="A15" s="7" t="s">
        <v>152</v>
      </c>
      <c r="B15" s="313" t="s">
        <v>158</v>
      </c>
      <c r="C15" s="24">
        <f>C2.6!D9</f>
        <v>0</v>
      </c>
      <c r="D15" s="24">
        <f>C2.6!E9</f>
        <v>0</v>
      </c>
      <c r="E15" s="24">
        <f>C2.6!F9</f>
        <v>0</v>
      </c>
      <c r="F15" s="24">
        <f>SUM(C15+D15-E15)</f>
        <v>0</v>
      </c>
      <c r="G15" s="302">
        <f>C2.6!H7</f>
        <v>0</v>
      </c>
    </row>
    <row r="16" spans="1:12">
      <c r="A16" s="9" t="s">
        <v>95</v>
      </c>
      <c r="B16" s="313" t="s">
        <v>159</v>
      </c>
      <c r="C16" s="24">
        <f>+C2.9!D18</f>
        <v>2900706.79</v>
      </c>
      <c r="D16" s="24">
        <f>C2.9!E18</f>
        <v>0</v>
      </c>
      <c r="E16" s="24"/>
      <c r="F16" s="24">
        <f>SUM(C16+D16-E16)</f>
        <v>2900706.79</v>
      </c>
      <c r="G16" s="302">
        <f>+C2.9!H18</f>
        <v>1108366.8799999999</v>
      </c>
    </row>
    <row r="17" spans="1:7">
      <c r="A17" s="316" t="s">
        <v>264</v>
      </c>
      <c r="B17" s="313" t="s">
        <v>265</v>
      </c>
      <c r="C17" s="34"/>
      <c r="D17" s="34"/>
      <c r="E17" s="34"/>
      <c r="F17" s="24">
        <f>SUM(C17+D17-E17)</f>
        <v>0</v>
      </c>
      <c r="G17" s="47"/>
    </row>
    <row r="18" spans="1:7">
      <c r="A18" s="316" t="s">
        <v>119</v>
      </c>
      <c r="B18" s="317" t="s">
        <v>160</v>
      </c>
      <c r="C18" s="34">
        <f>+C2.12!D15</f>
        <v>72196.63</v>
      </c>
      <c r="D18" s="34">
        <f>C2.12!E15</f>
        <v>0</v>
      </c>
      <c r="E18" s="34"/>
      <c r="F18" s="29">
        <f>SUM(C18+D18-E18)</f>
        <v>72196.63</v>
      </c>
      <c r="G18" s="47">
        <f>C2.12!H15</f>
        <v>67196.63</v>
      </c>
    </row>
    <row r="19" spans="1:7">
      <c r="A19" s="8" t="s">
        <v>19</v>
      </c>
      <c r="B19" s="8"/>
      <c r="C19" s="30">
        <f>SUM(C15:C18)</f>
        <v>2972903.42</v>
      </c>
      <c r="D19" s="30">
        <f>SUM(D16:D18)</f>
        <v>0</v>
      </c>
      <c r="E19" s="30">
        <f>SUM(E16:E18)</f>
        <v>0</v>
      </c>
      <c r="F19" s="30">
        <f>SUM(F15:F18)</f>
        <v>2972903.42</v>
      </c>
      <c r="G19" s="30">
        <f>SUM(G15:G18)</f>
        <v>1175563.5099999998</v>
      </c>
    </row>
    <row r="20" spans="1:7" ht="17.25" customHeight="1" thickBot="1">
      <c r="A20" s="8" t="s">
        <v>24</v>
      </c>
      <c r="B20" s="8"/>
      <c r="C20" s="38">
        <f>SUM(C13+C19)</f>
        <v>7269946.0299999993</v>
      </c>
      <c r="D20" s="38">
        <f>SUM(D13+D19)</f>
        <v>0</v>
      </c>
      <c r="E20" s="38">
        <f>SUM(E13+E19)</f>
        <v>104809.13</v>
      </c>
      <c r="F20" s="38">
        <f>SUM(F13+F19)</f>
        <v>7165136.9000000004</v>
      </c>
      <c r="G20" s="38">
        <f>SUM(G13+G19)</f>
        <v>5016557.9399999995</v>
      </c>
    </row>
    <row r="21" spans="1:7" ht="17.25" customHeight="1" thickTop="1">
      <c r="A21" s="21" t="s">
        <v>23</v>
      </c>
      <c r="B21" s="8"/>
      <c r="C21" s="40"/>
      <c r="D21" s="39"/>
      <c r="E21" s="39"/>
      <c r="F21" s="40"/>
      <c r="G21" s="43"/>
    </row>
    <row r="22" spans="1:7">
      <c r="A22" s="9" t="s">
        <v>22</v>
      </c>
      <c r="B22" s="8"/>
      <c r="C22" s="29"/>
      <c r="D22" s="24"/>
      <c r="E22" s="24"/>
      <c r="F22" s="29"/>
      <c r="G22" s="24"/>
    </row>
    <row r="23" spans="1:7">
      <c r="A23" s="314" t="s">
        <v>161</v>
      </c>
      <c r="B23" s="323" t="s">
        <v>103</v>
      </c>
      <c r="C23" s="24">
        <f>C3.1!D11</f>
        <v>0</v>
      </c>
      <c r="D23" s="24"/>
      <c r="E23" s="24"/>
      <c r="F23" s="24">
        <f>SUM(C23-D23+E23)</f>
        <v>0</v>
      </c>
      <c r="G23" s="24">
        <f>C3.1!H7</f>
        <v>0</v>
      </c>
    </row>
    <row r="24" spans="1:7">
      <c r="A24" s="9" t="s">
        <v>141</v>
      </c>
      <c r="B24" s="323" t="s">
        <v>162</v>
      </c>
      <c r="C24" s="24">
        <f>+C3.2!D23</f>
        <v>603690.25</v>
      </c>
      <c r="D24" s="24"/>
      <c r="E24" s="24">
        <f>C3.2!F23</f>
        <v>0</v>
      </c>
      <c r="F24" s="24">
        <f>SUM(C24-D24+E24)</f>
        <v>603690.25</v>
      </c>
      <c r="G24" s="24">
        <f>C3.2!H23</f>
        <v>735499.75</v>
      </c>
    </row>
    <row r="25" spans="1:7">
      <c r="A25" s="9" t="s">
        <v>115</v>
      </c>
      <c r="B25" s="323" t="s">
        <v>163</v>
      </c>
      <c r="C25" s="24">
        <f>+'C4'!D16</f>
        <v>0</v>
      </c>
      <c r="D25" s="24">
        <f>+'C4'!E16</f>
        <v>0</v>
      </c>
      <c r="E25" s="24">
        <f>'C4'!G16</f>
        <v>607983.19999999995</v>
      </c>
      <c r="F25" s="24">
        <f>SUM(C25-D25+E25)</f>
        <v>607983.19999999995</v>
      </c>
      <c r="G25" s="24">
        <f>'C4'!H16</f>
        <v>258181.44</v>
      </c>
    </row>
    <row r="26" spans="1:7">
      <c r="A26" s="9" t="s">
        <v>164</v>
      </c>
      <c r="B26" s="323" t="s">
        <v>165</v>
      </c>
      <c r="C26" s="24">
        <f>C3.4!D11</f>
        <v>0</v>
      </c>
      <c r="D26" s="24">
        <f>C3.4!E11</f>
        <v>0</v>
      </c>
      <c r="E26" s="24">
        <f>C3.4!F11</f>
        <v>0</v>
      </c>
      <c r="F26" s="24">
        <f t="shared" ref="F26:F27" si="0">SUM(C26-D26+E26)</f>
        <v>0</v>
      </c>
      <c r="G26" s="24">
        <f>C3.4!H11</f>
        <v>0</v>
      </c>
    </row>
    <row r="27" spans="1:7">
      <c r="A27" s="9" t="s">
        <v>139</v>
      </c>
      <c r="B27" s="323" t="s">
        <v>166</v>
      </c>
      <c r="C27" s="24">
        <f>C3.5!D11</f>
        <v>3575.86</v>
      </c>
      <c r="D27" s="24">
        <f>C3.5!E11</f>
        <v>0</v>
      </c>
      <c r="E27" s="24">
        <f>C3.5!F11</f>
        <v>0</v>
      </c>
      <c r="F27" s="24">
        <f t="shared" si="0"/>
        <v>3575.86</v>
      </c>
      <c r="G27" s="24">
        <f>C3.5!H11</f>
        <v>0</v>
      </c>
    </row>
    <row r="28" spans="1:7">
      <c r="A28" s="9" t="s">
        <v>45</v>
      </c>
      <c r="B28" s="323" t="s">
        <v>167</v>
      </c>
      <c r="C28" s="28">
        <f>+C3.7!D17</f>
        <v>0</v>
      </c>
      <c r="D28" s="28"/>
      <c r="E28" s="28"/>
      <c r="F28" s="24">
        <f>SUM(C28-D28+E28)</f>
        <v>0</v>
      </c>
      <c r="G28" s="28">
        <f>C3.7!H17</f>
        <v>0</v>
      </c>
    </row>
    <row r="29" spans="1:7">
      <c r="A29" s="8" t="s">
        <v>39</v>
      </c>
      <c r="B29" s="8"/>
      <c r="C29" s="30">
        <f>SUM(C23:C28)</f>
        <v>607266.11</v>
      </c>
      <c r="D29" s="30">
        <f>SUM(D24:D28)</f>
        <v>0</v>
      </c>
      <c r="E29" s="30">
        <f>SUM(E24:E28)</f>
        <v>607983.19999999995</v>
      </c>
      <c r="F29" s="30">
        <f>SUM(F23:F28)</f>
        <v>1215249.31</v>
      </c>
      <c r="G29" s="30">
        <f>SUM(G23:G28)</f>
        <v>993681.19</v>
      </c>
    </row>
    <row r="30" spans="1:7">
      <c r="A30" s="237" t="s">
        <v>114</v>
      </c>
      <c r="B30" s="8"/>
      <c r="C30" s="236"/>
      <c r="D30" s="236"/>
      <c r="E30" s="236"/>
      <c r="F30" s="236"/>
      <c r="G30" s="236"/>
    </row>
    <row r="31" spans="1:7">
      <c r="A31" s="9" t="s">
        <v>170</v>
      </c>
      <c r="B31" s="324" t="s">
        <v>14</v>
      </c>
      <c r="C31" s="24">
        <f>+'C4'!D10</f>
        <v>2207120.2599999998</v>
      </c>
      <c r="D31" s="24">
        <f>'C4'!E10</f>
        <v>607983.19999999995</v>
      </c>
      <c r="E31" s="24">
        <f>+'C4'!F10</f>
        <v>0</v>
      </c>
      <c r="F31" s="24">
        <f>SUM(C31-D31+E31)</f>
        <v>1599137.0599999998</v>
      </c>
      <c r="G31" s="24">
        <f>'C4'!H10</f>
        <v>562035.23</v>
      </c>
    </row>
    <row r="32" spans="1:7">
      <c r="A32" s="9" t="s">
        <v>168</v>
      </c>
      <c r="B32" s="324" t="s">
        <v>169</v>
      </c>
      <c r="C32" s="24">
        <f>+C4.1!D8</f>
        <v>0</v>
      </c>
      <c r="D32" s="24"/>
      <c r="E32" s="24"/>
      <c r="F32" s="24">
        <f>SUM(C32-D32+E32)</f>
        <v>0</v>
      </c>
      <c r="G32" s="34"/>
    </row>
    <row r="33" spans="1:8">
      <c r="A33" s="9" t="s">
        <v>130</v>
      </c>
      <c r="B33" s="324" t="s">
        <v>171</v>
      </c>
      <c r="C33" s="34">
        <f>+C4.5!D11</f>
        <v>0</v>
      </c>
      <c r="D33" s="34"/>
      <c r="E33" s="34"/>
      <c r="F33" s="24">
        <f>SUM(C33-D33+E33)</f>
        <v>0</v>
      </c>
      <c r="G33" s="34">
        <f>C4.5!H11</f>
        <v>0</v>
      </c>
    </row>
    <row r="34" spans="1:8">
      <c r="A34" s="8" t="s">
        <v>116</v>
      </c>
      <c r="B34" s="111"/>
      <c r="C34" s="30">
        <f>SUM(C31:C33)</f>
        <v>2207120.2599999998</v>
      </c>
      <c r="D34" s="30">
        <f t="shared" ref="D34:E34" si="1">SUM(D31:D33)</f>
        <v>607983.19999999995</v>
      </c>
      <c r="E34" s="30">
        <f t="shared" si="1"/>
        <v>0</v>
      </c>
      <c r="F34" s="30">
        <f>SUM(F31:F33)</f>
        <v>1599137.0599999998</v>
      </c>
      <c r="G34" s="30">
        <f>SUM(G31:G33)</f>
        <v>562035.23</v>
      </c>
    </row>
    <row r="35" spans="1:8">
      <c r="A35" s="111" t="s">
        <v>25</v>
      </c>
      <c r="B35" s="111"/>
      <c r="C35" s="37">
        <f>+C34+C29</f>
        <v>2814386.3699999996</v>
      </c>
      <c r="D35" s="37"/>
      <c r="E35" s="37"/>
      <c r="F35" s="37">
        <f>+F34+F29</f>
        <v>2814386.37</v>
      </c>
      <c r="G35" s="37">
        <f>SUM(G29+G34)</f>
        <v>1555716.42</v>
      </c>
    </row>
    <row r="36" spans="1:8">
      <c r="A36" s="113"/>
      <c r="B36" s="113"/>
      <c r="C36" s="114"/>
      <c r="D36" s="114"/>
      <c r="E36" s="114"/>
      <c r="F36" s="114"/>
      <c r="G36" s="110"/>
    </row>
    <row r="37" spans="1:8">
      <c r="A37" s="18" t="s">
        <v>34</v>
      </c>
      <c r="B37" s="8"/>
      <c r="C37" s="37"/>
      <c r="D37" s="24"/>
      <c r="E37" s="25"/>
      <c r="F37" s="25"/>
      <c r="G37" s="7"/>
    </row>
    <row r="38" spans="1:8">
      <c r="A38" s="247" t="str">
        <f>'C5'!A7</f>
        <v>ทุน-นาย</v>
      </c>
      <c r="B38" s="248" t="s">
        <v>107</v>
      </c>
      <c r="C38" s="24">
        <f>'C5'!D7</f>
        <v>500000</v>
      </c>
      <c r="D38" s="24"/>
      <c r="E38" s="25">
        <f>'C5'!F7</f>
        <v>0</v>
      </c>
      <c r="F38" s="24">
        <f>SUM(C38-D38+E38)</f>
        <v>500000</v>
      </c>
      <c r="G38" s="302">
        <f>+'C5'!H7</f>
        <v>500000</v>
      </c>
    </row>
    <row r="39" spans="1:8" hidden="1">
      <c r="A39" s="247">
        <f>'C5'!A8</f>
        <v>0</v>
      </c>
      <c r="B39" s="248" t="s">
        <v>107</v>
      </c>
      <c r="C39" s="24">
        <f>'C5'!G8</f>
        <v>0</v>
      </c>
      <c r="D39" s="24"/>
      <c r="E39" s="25"/>
      <c r="F39" s="24">
        <f t="shared" ref="F39:F41" si="2">SUM(C39-D39+E39)</f>
        <v>0</v>
      </c>
      <c r="G39" s="302">
        <f>+'C5'!H8</f>
        <v>0</v>
      </c>
    </row>
    <row r="40" spans="1:8">
      <c r="A40" s="247" t="str">
        <f>'C5'!A9</f>
        <v>ทุน-นาง</v>
      </c>
      <c r="B40" s="248" t="s">
        <v>107</v>
      </c>
      <c r="C40" s="24">
        <f>'C5'!D9</f>
        <v>500000</v>
      </c>
      <c r="D40" s="24"/>
      <c r="E40" s="25">
        <f>'C5'!F9</f>
        <v>0</v>
      </c>
      <c r="F40" s="24">
        <f t="shared" si="2"/>
        <v>500000</v>
      </c>
      <c r="G40" s="302">
        <f>+'C5'!H9</f>
        <v>500000</v>
      </c>
    </row>
    <row r="41" spans="1:8">
      <c r="A41" s="247" t="str">
        <f>'C5'!A10</f>
        <v>ทุนที่ออกและเรียกชำระ</v>
      </c>
      <c r="B41" s="248" t="s">
        <v>107</v>
      </c>
      <c r="C41" s="24">
        <f>'C5'!D10</f>
        <v>1000000</v>
      </c>
      <c r="D41" s="24"/>
      <c r="E41" s="25">
        <f>'C5'!F10</f>
        <v>0</v>
      </c>
      <c r="F41" s="24">
        <f t="shared" si="2"/>
        <v>1000000</v>
      </c>
      <c r="G41" s="302">
        <f>+'C5'!H10</f>
        <v>1000000</v>
      </c>
    </row>
    <row r="42" spans="1:8">
      <c r="A42" s="247" t="str">
        <f>'C5'!A11</f>
        <v>กำไร(ขาดทุน)สะสม</v>
      </c>
      <c r="B42" s="248" t="s">
        <v>107</v>
      </c>
      <c r="C42" s="24">
        <f>'C5'!G11</f>
        <v>2460841.52</v>
      </c>
      <c r="D42" s="24"/>
      <c r="E42" s="25"/>
      <c r="F42" s="24">
        <f>SUM(C42-D42+E42)</f>
        <v>2460841.52</v>
      </c>
      <c r="G42" s="302">
        <f>'C5'!H11</f>
        <v>1458463.03</v>
      </c>
    </row>
    <row r="43" spans="1:8">
      <c r="A43" s="249" t="s">
        <v>35</v>
      </c>
      <c r="B43" s="248" t="s">
        <v>107</v>
      </c>
      <c r="C43" s="24">
        <f>+'C5'!D12</f>
        <v>0</v>
      </c>
      <c r="D43" s="303"/>
      <c r="E43" s="304"/>
      <c r="F43" s="24">
        <f>SUM(C43-D43+E43)</f>
        <v>0</v>
      </c>
      <c r="G43" s="24">
        <f>+'C5'!H12</f>
        <v>0</v>
      </c>
    </row>
    <row r="44" spans="1:8">
      <c r="A44" s="7" t="s">
        <v>36</v>
      </c>
      <c r="B44" s="16"/>
      <c r="C44" s="108">
        <f>+'C5'!D13</f>
        <v>0</v>
      </c>
      <c r="D44" s="108"/>
      <c r="E44" s="108"/>
      <c r="F44" s="108">
        <f>SUM(C44-D44+E44)</f>
        <v>0</v>
      </c>
      <c r="G44" s="108">
        <f>+'C5'!H13</f>
        <v>0</v>
      </c>
    </row>
    <row r="45" spans="1:8">
      <c r="A45" s="7" t="s">
        <v>51</v>
      </c>
      <c r="B45" s="16"/>
      <c r="C45" s="105">
        <f>+C60</f>
        <v>889909.01000000164</v>
      </c>
      <c r="D45" s="106"/>
      <c r="E45" s="107"/>
      <c r="F45" s="105">
        <f>+F60</f>
        <v>889909.01000000164</v>
      </c>
      <c r="G45" s="116">
        <f>+G60</f>
        <v>1002378.4900000002</v>
      </c>
    </row>
    <row r="46" spans="1:8">
      <c r="A46" s="8" t="s">
        <v>37</v>
      </c>
      <c r="B46" s="16"/>
      <c r="C46" s="105">
        <f>SUM(C41:C45)</f>
        <v>4350750.5300000012</v>
      </c>
      <c r="D46" s="24"/>
      <c r="E46" s="25"/>
      <c r="F46" s="105">
        <f>SUM(F41:F45)</f>
        <v>4350750.5300000012</v>
      </c>
      <c r="G46" s="117">
        <f>SUM(G41:G45)</f>
        <v>3460841.5200000005</v>
      </c>
      <c r="H46" s="118">
        <f>SUM(G44:G45)</f>
        <v>1002378.4900000002</v>
      </c>
    </row>
    <row r="47" spans="1:8" ht="21.75" thickBot="1">
      <c r="A47" s="8" t="s">
        <v>38</v>
      </c>
      <c r="B47" s="8"/>
      <c r="C47" s="38">
        <f>SUM(C35+C46)</f>
        <v>7165136.9000000004</v>
      </c>
      <c r="D47" s="39"/>
      <c r="E47" s="39"/>
      <c r="F47" s="38">
        <f>SUM(F35+F46)</f>
        <v>7165136.9000000013</v>
      </c>
      <c r="G47" s="38">
        <f>SUM(G35+G46)</f>
        <v>5016557.9400000004</v>
      </c>
    </row>
    <row r="48" spans="1:8" ht="21.75" thickTop="1">
      <c r="A48" s="7"/>
      <c r="B48" s="8"/>
      <c r="C48" s="67">
        <f>SUM(-C47+C20)</f>
        <v>104809.12999999896</v>
      </c>
      <c r="D48" s="68"/>
      <c r="E48" s="68"/>
      <c r="F48" s="67">
        <f>SUM(-F47+F20)</f>
        <v>-9.3132257461547852E-10</v>
      </c>
      <c r="G48" s="67">
        <f>SUM(G20-G47)</f>
        <v>-9.3132257461547852E-10</v>
      </c>
      <c r="H48" s="383">
        <f>+G35+G46</f>
        <v>5016557.9400000004</v>
      </c>
    </row>
    <row r="49" spans="1:7">
      <c r="A49" s="21" t="s">
        <v>15</v>
      </c>
      <c r="B49" s="8"/>
      <c r="C49" s="24"/>
      <c r="D49" s="24"/>
      <c r="E49" s="24"/>
      <c r="F49" s="24"/>
      <c r="G49" s="24"/>
    </row>
    <row r="50" spans="1:7">
      <c r="A50" s="7" t="s">
        <v>69</v>
      </c>
      <c r="B50" s="16" t="s">
        <v>81</v>
      </c>
      <c r="C50" s="24">
        <f>+C6.1!D9</f>
        <v>9276396</v>
      </c>
      <c r="D50" s="24">
        <f>C6.1!E9</f>
        <v>0</v>
      </c>
      <c r="E50" s="36">
        <f>C6.1!F9</f>
        <v>0</v>
      </c>
      <c r="F50" s="28">
        <f>SUM(C50-D50+E50)</f>
        <v>9276396</v>
      </c>
      <c r="G50" s="24">
        <f>+C6.1!H9</f>
        <v>8257556</v>
      </c>
    </row>
    <row r="51" spans="1:7">
      <c r="A51" s="7" t="s">
        <v>46</v>
      </c>
      <c r="B51" s="16" t="s">
        <v>53</v>
      </c>
      <c r="C51" s="34">
        <f>+C6.2!D10</f>
        <v>31178.719999999998</v>
      </c>
      <c r="D51" s="24"/>
      <c r="E51" s="36">
        <f>C6.2!F10</f>
        <v>0</v>
      </c>
      <c r="F51" s="28">
        <f>SUM(C51-D51+E51)</f>
        <v>31178.719999999998</v>
      </c>
      <c r="G51" s="24">
        <f>+C6.2!H10</f>
        <v>28858.14</v>
      </c>
    </row>
    <row r="52" spans="1:7" ht="21.75" thickBot="1">
      <c r="A52" s="8" t="s">
        <v>26</v>
      </c>
      <c r="B52" s="16"/>
      <c r="C52" s="31">
        <f>SUM(C50:C51)</f>
        <v>9307574.7200000007</v>
      </c>
      <c r="D52" s="31">
        <f>SUM(D50:D51)</f>
        <v>0</v>
      </c>
      <c r="E52" s="31">
        <f>SUM(E50:E51)</f>
        <v>0</v>
      </c>
      <c r="F52" s="31">
        <f>SUM(F50:F51)</f>
        <v>9307574.7200000007</v>
      </c>
      <c r="G52" s="49">
        <f>SUM(G50:G51)</f>
        <v>8286414.1399999997</v>
      </c>
    </row>
    <row r="53" spans="1:7" ht="21.75" thickTop="1">
      <c r="A53" s="21" t="s">
        <v>27</v>
      </c>
      <c r="B53" s="8"/>
      <c r="C53" s="29"/>
      <c r="D53" s="24"/>
      <c r="E53" s="24"/>
      <c r="F53" s="29"/>
      <c r="G53" s="43"/>
    </row>
    <row r="54" spans="1:7">
      <c r="A54" s="9" t="s">
        <v>206</v>
      </c>
      <c r="B54" s="16" t="s">
        <v>54</v>
      </c>
      <c r="C54" s="24">
        <f>+'C10'!D19</f>
        <v>7773374.8599999994</v>
      </c>
      <c r="D54" s="24">
        <f>'C10'!E19</f>
        <v>0</v>
      </c>
      <c r="E54" s="36">
        <f>'C10'!F19</f>
        <v>0</v>
      </c>
      <c r="F54" s="24">
        <f>SUM(C54+D54-E54)</f>
        <v>7773374.8599999994</v>
      </c>
      <c r="G54" s="24">
        <f>+'C10'!H19</f>
        <v>6721357.4399999995</v>
      </c>
    </row>
    <row r="55" spans="1:7">
      <c r="A55" s="15" t="s">
        <v>97</v>
      </c>
      <c r="B55" s="16"/>
      <c r="C55" s="25">
        <f>+'C11'!D11</f>
        <v>0</v>
      </c>
      <c r="D55" s="25"/>
      <c r="E55" s="307"/>
      <c r="F55" s="24">
        <f>SUM(C55+D55-E55)</f>
        <v>0</v>
      </c>
      <c r="G55" s="24">
        <f>'C11'!H11</f>
        <v>0</v>
      </c>
    </row>
    <row r="56" spans="1:7">
      <c r="A56" s="15" t="s">
        <v>98</v>
      </c>
      <c r="B56" s="16" t="s">
        <v>56</v>
      </c>
      <c r="C56" s="25">
        <f>+'C11'!D58</f>
        <v>371324.13</v>
      </c>
      <c r="D56" s="25">
        <f>'C11'!E58</f>
        <v>0</v>
      </c>
      <c r="E56" s="25">
        <f>'C11'!F58</f>
        <v>0</v>
      </c>
      <c r="F56" s="24">
        <f>SUM(C56+D56-E56)</f>
        <v>371324.13</v>
      </c>
      <c r="G56" s="24">
        <f>+'C11'!H58</f>
        <v>367772.65</v>
      </c>
    </row>
    <row r="57" spans="1:7">
      <c r="A57" s="15" t="s">
        <v>99</v>
      </c>
      <c r="B57" s="16"/>
      <c r="C57" s="24">
        <f>'C11'!D60</f>
        <v>168157.59</v>
      </c>
      <c r="D57" s="25">
        <f>'C11'!E60</f>
        <v>0</v>
      </c>
      <c r="E57" s="25"/>
      <c r="F57" s="24">
        <f>SUM(C57+D57-E57)</f>
        <v>168157.59</v>
      </c>
      <c r="G57" s="24">
        <f>'C11'!H60</f>
        <v>116863.51</v>
      </c>
    </row>
    <row r="58" spans="1:7">
      <c r="A58" s="305" t="s">
        <v>16</v>
      </c>
      <c r="B58" s="306"/>
      <c r="C58" s="151">
        <f>+'C11'!D62</f>
        <v>104809.13</v>
      </c>
      <c r="D58" s="151">
        <f>'C11'!E62</f>
        <v>0</v>
      </c>
      <c r="E58" s="151"/>
      <c r="F58" s="29">
        <f>SUM(C58+D58-E58)</f>
        <v>104809.13</v>
      </c>
      <c r="G58" s="34">
        <f>'C11'!H62</f>
        <v>78042.05</v>
      </c>
    </row>
    <row r="59" spans="1:7">
      <c r="A59" s="16" t="s">
        <v>28</v>
      </c>
      <c r="B59" s="16"/>
      <c r="C59" s="30">
        <f>SUM(C54:C58)</f>
        <v>8417665.709999999</v>
      </c>
      <c r="D59" s="25"/>
      <c r="E59" s="25"/>
      <c r="F59" s="30">
        <f>SUM(F54:F58)</f>
        <v>8417665.709999999</v>
      </c>
      <c r="G59" s="30">
        <f>SUM(G54:G58)</f>
        <v>7284035.6499999994</v>
      </c>
    </row>
    <row r="60" spans="1:7" ht="21.75" thickBot="1">
      <c r="A60" s="18" t="s">
        <v>67</v>
      </c>
      <c r="B60" s="16"/>
      <c r="C60" s="69">
        <f>SUM(C52-C59)</f>
        <v>889909.01000000164</v>
      </c>
      <c r="D60" s="25"/>
      <c r="E60" s="25"/>
      <c r="F60" s="69">
        <f>SUM(F52-F59)</f>
        <v>889909.01000000164</v>
      </c>
      <c r="G60" s="69">
        <f>SUM(G52-G59)</f>
        <v>1002378.4900000002</v>
      </c>
    </row>
    <row r="61" spans="1:7" ht="21.75" thickTop="1">
      <c r="A61" s="19"/>
      <c r="B61" s="17"/>
      <c r="C61" s="32"/>
      <c r="D61" s="26"/>
      <c r="E61" s="26"/>
      <c r="F61" s="33"/>
      <c r="G61" s="44"/>
    </row>
    <row r="62" spans="1:7">
      <c r="C62" s="396">
        <v>994718.14</v>
      </c>
      <c r="D62" s="396">
        <f>+C62-C60</f>
        <v>104809.12999999837</v>
      </c>
      <c r="E62" s="27"/>
      <c r="F62" s="27"/>
    </row>
    <row r="63" spans="1:7">
      <c r="C63" s="119"/>
      <c r="D63" s="119"/>
      <c r="F63" s="119"/>
    </row>
    <row r="64" spans="1:7">
      <c r="A64" s="2" t="s">
        <v>70</v>
      </c>
      <c r="C64" s="119"/>
      <c r="D64" s="119">
        <f>F60</f>
        <v>889909.01000000164</v>
      </c>
    </row>
    <row r="65" spans="1:5" hidden="1">
      <c r="A65" s="2" t="s">
        <v>222</v>
      </c>
      <c r="C65" s="119"/>
      <c r="D65" s="119"/>
    </row>
    <row r="66" spans="1:5">
      <c r="A66" s="278" t="s">
        <v>122</v>
      </c>
      <c r="C66" s="120">
        <f>'C11'!D30</f>
        <v>4009.36</v>
      </c>
      <c r="D66" s="119"/>
    </row>
    <row r="67" spans="1:5">
      <c r="A67" s="278" t="s">
        <v>125</v>
      </c>
      <c r="C67" s="473"/>
      <c r="D67" s="119"/>
    </row>
    <row r="68" spans="1:5">
      <c r="A68" s="278" t="s">
        <v>126</v>
      </c>
      <c r="C68" s="473"/>
      <c r="D68" s="119"/>
    </row>
    <row r="69" spans="1:5">
      <c r="A69" s="278" t="s">
        <v>227</v>
      </c>
      <c r="C69" s="474"/>
      <c r="D69" s="119"/>
    </row>
    <row r="70" spans="1:5" ht="21.75">
      <c r="A70" s="278" t="s">
        <v>99</v>
      </c>
      <c r="C70" s="415"/>
      <c r="D70" s="119"/>
    </row>
    <row r="71" spans="1:5">
      <c r="A71" s="278" t="s">
        <v>266</v>
      </c>
      <c r="C71" s="475"/>
      <c r="D71" s="119"/>
    </row>
    <row r="72" spans="1:5">
      <c r="A72" s="277" t="s">
        <v>66</v>
      </c>
      <c r="C72" s="476">
        <f>'C11'!D62</f>
        <v>104809.13</v>
      </c>
      <c r="D72" s="120">
        <f>SUM(C65:C72)</f>
        <v>108818.49</v>
      </c>
    </row>
    <row r="73" spans="1:5" ht="21.75" thickBot="1">
      <c r="A73" s="2" t="s">
        <v>70</v>
      </c>
      <c r="D73" s="121">
        <f>SUM(D64+D72)</f>
        <v>998727.50000000163</v>
      </c>
    </row>
    <row r="74" spans="1:5" ht="21.75" thickTop="1"/>
    <row r="75" spans="1:5">
      <c r="A75" s="2" t="s">
        <v>312</v>
      </c>
      <c r="C75" s="403"/>
      <c r="D75" s="404">
        <f>(D73-300000)*15/100</f>
        <v>104809.12500000025</v>
      </c>
    </row>
    <row r="76" spans="1:5">
      <c r="A76" s="2" t="s">
        <v>71</v>
      </c>
      <c r="C76" s="404">
        <v>0</v>
      </c>
      <c r="D76" s="403"/>
    </row>
    <row r="77" spans="1:5">
      <c r="A77" s="2" t="s">
        <v>72</v>
      </c>
      <c r="C77" s="405">
        <v>-108180.86</v>
      </c>
      <c r="D77" s="403">
        <f>SUM(C76:C77)</f>
        <v>-108180.86</v>
      </c>
    </row>
    <row r="78" spans="1:5" ht="21.75" thickBot="1">
      <c r="A78" s="2" t="s">
        <v>73</v>
      </c>
      <c r="C78" s="403"/>
      <c r="D78" s="406">
        <f>SUM(D75:D77)</f>
        <v>-3371.7349999997532</v>
      </c>
      <c r="E78" s="3">
        <f>+D78*100/20</f>
        <v>-16858.674999998766</v>
      </c>
    </row>
    <row r="79" spans="1:5" ht="21.75" thickTop="1"/>
    <row r="81" spans="4:4">
      <c r="D81" s="403"/>
    </row>
  </sheetData>
  <mergeCells count="1">
    <mergeCell ref="D4:E4"/>
  </mergeCells>
  <phoneticPr fontId="0" type="noConversion"/>
  <pageMargins left="0.75" right="0.75" top="0.25" bottom="0.13" header="0.25" footer="0.18"/>
  <pageSetup orientation="landscape" horizontalDpi="180" verticalDpi="180" r:id="rId1"/>
  <headerFooter alignWithMargins="0"/>
  <rowBreaks count="1" manualBreakCount="1">
    <brk id="63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H17"/>
  <sheetViews>
    <sheetView workbookViewId="0">
      <selection activeCell="A74" sqref="A74"/>
    </sheetView>
  </sheetViews>
  <sheetFormatPr defaultColWidth="9.140625" defaultRowHeight="21"/>
  <cols>
    <col min="1" max="1" width="28.140625" style="1" customWidth="1"/>
    <col min="2" max="2" width="11" style="1" bestFit="1" customWidth="1"/>
    <col min="3" max="3" width="6.28515625" style="1" customWidth="1"/>
    <col min="4" max="4" width="12.7109375" style="1" customWidth="1"/>
    <col min="5" max="5" width="11.5703125" style="1" customWidth="1"/>
    <col min="6" max="6" width="11.42578125" style="1" customWidth="1"/>
    <col min="7" max="7" width="14" style="1" customWidth="1"/>
    <col min="8" max="8" width="11.5703125" style="1" customWidth="1"/>
    <col min="9" max="16384" width="9.140625" style="1"/>
  </cols>
  <sheetData>
    <row r="1" spans="1:8">
      <c r="A1" s="41" t="s">
        <v>272</v>
      </c>
      <c r="F1" s="1" t="s">
        <v>7</v>
      </c>
      <c r="H1" s="71" t="s">
        <v>153</v>
      </c>
    </row>
    <row r="2" spans="1:8">
      <c r="A2" s="1" t="s">
        <v>59</v>
      </c>
      <c r="F2" s="72" t="s">
        <v>8</v>
      </c>
      <c r="G2" s="73" t="s">
        <v>9</v>
      </c>
    </row>
    <row r="3" spans="1:8">
      <c r="A3" s="1" t="s">
        <v>314</v>
      </c>
      <c r="F3" s="72" t="s">
        <v>10</v>
      </c>
      <c r="G3" s="73" t="s">
        <v>9</v>
      </c>
    </row>
    <row r="4" spans="1:8">
      <c r="A4" s="45" t="s">
        <v>0</v>
      </c>
      <c r="B4" s="45" t="s">
        <v>18</v>
      </c>
      <c r="C4" s="74" t="s">
        <v>1</v>
      </c>
      <c r="D4" s="45" t="s">
        <v>2</v>
      </c>
      <c r="E4" s="501" t="s">
        <v>3</v>
      </c>
      <c r="F4" s="503"/>
      <c r="G4" s="45" t="s">
        <v>4</v>
      </c>
      <c r="H4" s="45" t="s">
        <v>48</v>
      </c>
    </row>
    <row r="5" spans="1:8">
      <c r="A5" s="75"/>
      <c r="B5" s="75"/>
      <c r="C5" s="76"/>
      <c r="D5" s="46">
        <v>2560</v>
      </c>
      <c r="E5" s="77" t="s">
        <v>5</v>
      </c>
      <c r="F5" s="46" t="s">
        <v>6</v>
      </c>
      <c r="G5" s="46">
        <f>D5</f>
        <v>2560</v>
      </c>
      <c r="H5" s="46">
        <v>2559</v>
      </c>
    </row>
    <row r="6" spans="1:8">
      <c r="A6" s="42"/>
      <c r="B6" s="42"/>
      <c r="C6" s="251"/>
      <c r="D6" s="42"/>
      <c r="E6" s="251"/>
      <c r="F6" s="42"/>
      <c r="G6" s="42"/>
      <c r="H6" s="80"/>
    </row>
    <row r="7" spans="1:8">
      <c r="A7" s="81" t="s">
        <v>128</v>
      </c>
      <c r="B7" s="82"/>
      <c r="C7" s="83"/>
      <c r="D7" s="84">
        <v>320411.12</v>
      </c>
      <c r="E7" s="85"/>
      <c r="F7" s="86"/>
      <c r="G7" s="86">
        <f>SUM(D7+E7-F7)</f>
        <v>320411.12</v>
      </c>
      <c r="H7" s="84">
        <v>374952.28</v>
      </c>
    </row>
    <row r="8" spans="1:8">
      <c r="A8" s="81" t="s">
        <v>273</v>
      </c>
      <c r="B8" s="82"/>
      <c r="C8" s="123"/>
      <c r="D8" s="84">
        <v>7965.48</v>
      </c>
      <c r="E8" s="85"/>
      <c r="F8" s="86"/>
      <c r="G8" s="86">
        <f>SUM(D8+E8-F8)</f>
        <v>7965.48</v>
      </c>
      <c r="H8" s="84">
        <v>24240.99</v>
      </c>
    </row>
    <row r="9" spans="1:8">
      <c r="A9" s="81"/>
      <c r="B9" s="82"/>
      <c r="C9" s="271"/>
      <c r="D9" s="100"/>
      <c r="E9" s="85"/>
      <c r="F9" s="86"/>
      <c r="G9" s="86">
        <f>SUM(D9+E9-F9)</f>
        <v>0</v>
      </c>
      <c r="H9" s="100"/>
    </row>
    <row r="10" spans="1:8">
      <c r="A10" s="81"/>
      <c r="B10" s="82"/>
      <c r="C10" s="271"/>
      <c r="D10" s="100">
        <v>0</v>
      </c>
      <c r="E10" s="85"/>
      <c r="F10" s="86"/>
      <c r="G10" s="86">
        <f>SUM(D10+E10-F10)</f>
        <v>0</v>
      </c>
      <c r="H10" s="100">
        <v>0</v>
      </c>
    </row>
    <row r="11" spans="1:8">
      <c r="A11" s="80"/>
      <c r="B11" s="179"/>
      <c r="C11" s="180"/>
      <c r="D11" s="175"/>
      <c r="E11" s="97"/>
      <c r="F11" s="181"/>
      <c r="G11" s="181"/>
      <c r="H11" s="175"/>
    </row>
    <row r="12" spans="1:8">
      <c r="A12" s="75"/>
      <c r="B12" s="75"/>
      <c r="C12" s="76"/>
      <c r="D12" s="91">
        <f>SUM(D7:D11)</f>
        <v>328376.59999999998</v>
      </c>
      <c r="E12" s="91">
        <f>SUM(E7:E9)</f>
        <v>0</v>
      </c>
      <c r="F12" s="91">
        <f>SUM(F7:F9)</f>
        <v>0</v>
      </c>
      <c r="G12" s="91">
        <f>SUM(G7:G11)</f>
        <v>328376.59999999998</v>
      </c>
      <c r="H12" s="91">
        <f>SUM(H7:H11)</f>
        <v>399193.27</v>
      </c>
    </row>
    <row r="14" spans="1:8">
      <c r="G14" s="129"/>
    </row>
    <row r="15" spans="1:8">
      <c r="G15" s="129"/>
    </row>
    <row r="16" spans="1:8">
      <c r="G16" s="129"/>
    </row>
    <row r="17" spans="7:7">
      <c r="G17" s="129"/>
    </row>
  </sheetData>
  <mergeCells count="1">
    <mergeCell ref="E4:F4"/>
  </mergeCells>
  <phoneticPr fontId="0" type="noConversion"/>
  <pageMargins left="0.75" right="0.38" top="0.66" bottom="1.17" header="0.5" footer="0.5"/>
  <pageSetup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H18"/>
  <sheetViews>
    <sheetView zoomScale="120" workbookViewId="0">
      <selection activeCell="A74" sqref="A74"/>
    </sheetView>
  </sheetViews>
  <sheetFormatPr defaultColWidth="9.140625" defaultRowHeight="21"/>
  <cols>
    <col min="1" max="1" width="28.140625" style="1" customWidth="1"/>
    <col min="2" max="2" width="11" style="1" bestFit="1" customWidth="1"/>
    <col min="3" max="3" width="6.28515625" style="1" customWidth="1"/>
    <col min="4" max="4" width="12.7109375" style="1" customWidth="1"/>
    <col min="5" max="5" width="11.5703125" style="1" customWidth="1"/>
    <col min="6" max="6" width="11.42578125" style="1" customWidth="1"/>
    <col min="7" max="7" width="14" style="1" customWidth="1"/>
    <col min="8" max="8" width="11.5703125" style="1" customWidth="1"/>
    <col min="9" max="16384" width="9.140625" style="1"/>
  </cols>
  <sheetData>
    <row r="1" spans="1:8">
      <c r="A1" s="41" t="str">
        <f>C1.1!A1</f>
        <v>ลูกค้า ห้างหุ้นส่วนจำกัด จรัญ อำภา ทรานสปอร์ต</v>
      </c>
      <c r="F1" s="1" t="s">
        <v>7</v>
      </c>
      <c r="H1" s="71" t="s">
        <v>11</v>
      </c>
    </row>
    <row r="2" spans="1:8">
      <c r="A2" s="1" t="s">
        <v>172</v>
      </c>
      <c r="F2" s="72" t="s">
        <v>8</v>
      </c>
      <c r="G2" s="73" t="s">
        <v>9</v>
      </c>
    </row>
    <row r="3" spans="1:8">
      <c r="A3" s="1" t="str">
        <f>C1.1!A3</f>
        <v>ณ 31 ธันวาคม 2559</v>
      </c>
      <c r="F3" s="72" t="s">
        <v>10</v>
      </c>
      <c r="G3" s="73" t="s">
        <v>9</v>
      </c>
    </row>
    <row r="4" spans="1:8">
      <c r="A4" s="45" t="s">
        <v>0</v>
      </c>
      <c r="B4" s="45" t="s">
        <v>18</v>
      </c>
      <c r="C4" s="74" t="s">
        <v>1</v>
      </c>
      <c r="D4" s="45" t="s">
        <v>2</v>
      </c>
      <c r="E4" s="501" t="s">
        <v>3</v>
      </c>
      <c r="F4" s="503"/>
      <c r="G4" s="45" t="s">
        <v>4</v>
      </c>
      <c r="H4" s="45" t="s">
        <v>48</v>
      </c>
    </row>
    <row r="5" spans="1:8">
      <c r="A5" s="75"/>
      <c r="B5" s="75"/>
      <c r="C5" s="76"/>
      <c r="D5" s="46">
        <f>C1.1!D5</f>
        <v>2560</v>
      </c>
      <c r="E5" s="77" t="s">
        <v>5</v>
      </c>
      <c r="F5" s="46" t="s">
        <v>6</v>
      </c>
      <c r="G5" s="46">
        <f>D5</f>
        <v>2560</v>
      </c>
      <c r="H5" s="46">
        <f>C1.1!H5</f>
        <v>2559</v>
      </c>
    </row>
    <row r="6" spans="1:8">
      <c r="A6" s="42"/>
      <c r="B6" s="42"/>
      <c r="C6" s="251"/>
      <c r="D6" s="315"/>
      <c r="E6" s="251"/>
      <c r="F6" s="42"/>
      <c r="G6" s="315"/>
      <c r="H6" s="80"/>
    </row>
    <row r="7" spans="1:8">
      <c r="A7" s="6" t="s">
        <v>274</v>
      </c>
      <c r="B7" s="443"/>
      <c r="C7" s="355"/>
      <c r="D7" s="356">
        <v>103468</v>
      </c>
      <c r="E7" s="351"/>
      <c r="F7" s="352"/>
      <c r="G7" s="353">
        <f>SUM(D7+E7-F7)</f>
        <v>103468</v>
      </c>
      <c r="H7" s="356">
        <v>752690</v>
      </c>
    </row>
    <row r="8" spans="1:8">
      <c r="A8" s="6" t="s">
        <v>256</v>
      </c>
      <c r="B8" s="443"/>
      <c r="C8" s="355"/>
      <c r="D8" s="356"/>
      <c r="E8" s="351"/>
      <c r="F8" s="352"/>
      <c r="G8" s="353">
        <f>SUM(D8+E8-F8)</f>
        <v>0</v>
      </c>
      <c r="H8" s="356"/>
    </row>
    <row r="9" spans="1:8">
      <c r="A9" s="6" t="s">
        <v>275</v>
      </c>
      <c r="B9" s="443"/>
      <c r="C9" s="355"/>
      <c r="D9" s="356"/>
      <c r="E9" s="351"/>
      <c r="F9" s="352"/>
      <c r="G9" s="356">
        <f t="shared" ref="G9" si="0">SUM(D9+E9-F9)</f>
        <v>0</v>
      </c>
      <c r="H9" s="356"/>
    </row>
    <row r="10" spans="1:8">
      <c r="A10" s="6" t="s">
        <v>276</v>
      </c>
      <c r="B10" s="443"/>
      <c r="C10" s="355"/>
      <c r="D10" s="356"/>
      <c r="E10" s="351"/>
      <c r="F10" s="352"/>
      <c r="G10" s="259">
        <f>SUM(D10+E10-F10)</f>
        <v>0</v>
      </c>
      <c r="H10" s="356"/>
    </row>
    <row r="11" spans="1:8">
      <c r="A11" s="6" t="s">
        <v>223</v>
      </c>
      <c r="B11" s="443"/>
      <c r="C11" s="355"/>
      <c r="D11" s="356">
        <v>117134.24</v>
      </c>
      <c r="E11" s="351"/>
      <c r="F11" s="352"/>
      <c r="G11" s="259">
        <f t="shared" ref="G11:G17" si="1">SUM(D11+E11-F11)</f>
        <v>117134.24</v>
      </c>
      <c r="H11" s="356">
        <v>86517.8</v>
      </c>
    </row>
    <row r="12" spans="1:8">
      <c r="A12" s="369"/>
      <c r="B12" s="94"/>
      <c r="C12" s="95"/>
      <c r="D12" s="259"/>
      <c r="E12" s="299"/>
      <c r="F12" s="259"/>
      <c r="G12" s="259">
        <f t="shared" si="1"/>
        <v>0</v>
      </c>
      <c r="H12" s="259"/>
    </row>
    <row r="13" spans="1:8">
      <c r="A13" s="390"/>
      <c r="B13" s="82"/>
      <c r="C13" s="271"/>
      <c r="D13" s="348"/>
      <c r="E13" s="85"/>
      <c r="F13" s="86"/>
      <c r="G13" s="259">
        <f t="shared" si="1"/>
        <v>0</v>
      </c>
      <c r="H13" s="259"/>
    </row>
    <row r="14" spans="1:8">
      <c r="A14" s="390"/>
      <c r="B14" s="82"/>
      <c r="C14" s="271"/>
      <c r="D14" s="348"/>
      <c r="E14" s="85"/>
      <c r="F14" s="86"/>
      <c r="G14" s="259">
        <f t="shared" si="1"/>
        <v>0</v>
      </c>
      <c r="H14" s="348"/>
    </row>
    <row r="15" spans="1:8">
      <c r="A15" s="390"/>
      <c r="B15" s="82"/>
      <c r="C15" s="271"/>
      <c r="D15" s="348"/>
      <c r="E15" s="85"/>
      <c r="F15" s="86"/>
      <c r="G15" s="259">
        <f t="shared" si="1"/>
        <v>0</v>
      </c>
      <c r="H15" s="348"/>
    </row>
    <row r="16" spans="1:8">
      <c r="A16" s="390"/>
      <c r="B16" s="82"/>
      <c r="C16" s="271"/>
      <c r="D16" s="348"/>
      <c r="E16" s="85"/>
      <c r="F16" s="86"/>
      <c r="G16" s="259">
        <f t="shared" si="1"/>
        <v>0</v>
      </c>
      <c r="H16" s="348"/>
    </row>
    <row r="17" spans="1:8">
      <c r="A17" s="369"/>
      <c r="B17" s="94"/>
      <c r="C17" s="95"/>
      <c r="D17" s="259"/>
      <c r="E17" s="299"/>
      <c r="F17" s="259"/>
      <c r="G17" s="259">
        <f t="shared" si="1"/>
        <v>0</v>
      </c>
      <c r="H17" s="259"/>
    </row>
    <row r="18" spans="1:8">
      <c r="A18" s="75"/>
      <c r="B18" s="75"/>
      <c r="C18" s="76"/>
      <c r="D18" s="268">
        <f>SUM(D7:D17)</f>
        <v>220602.23999999999</v>
      </c>
      <c r="E18" s="268">
        <f t="shared" ref="E18:F18" si="2">SUM(E7:E17)</f>
        <v>0</v>
      </c>
      <c r="F18" s="268">
        <f t="shared" si="2"/>
        <v>0</v>
      </c>
      <c r="G18" s="268">
        <f>SUM(G7:G17)</f>
        <v>220602.23999999999</v>
      </c>
      <c r="H18" s="91">
        <f>SUM(H7:H17)</f>
        <v>839207.8</v>
      </c>
    </row>
  </sheetData>
  <mergeCells count="1">
    <mergeCell ref="E4:F4"/>
  </mergeCells>
  <pageMargins left="0.74803149606299213" right="0.39370078740157483" top="0.6692913385826772" bottom="1.1811023622047245" header="0.51181102362204722" footer="0.51181102362204722"/>
  <pageSetup scale="96" orientation="portrait" horizontalDpi="180" verticalDpi="18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H10"/>
  <sheetViews>
    <sheetView zoomScale="120" workbookViewId="0">
      <selection activeCell="A74" sqref="A74"/>
    </sheetView>
  </sheetViews>
  <sheetFormatPr defaultColWidth="9.140625" defaultRowHeight="21"/>
  <cols>
    <col min="1" max="1" width="25.5703125" style="1" customWidth="1"/>
    <col min="2" max="2" width="9.28515625" style="1" customWidth="1"/>
    <col min="3" max="3" width="6.28515625" style="1" customWidth="1"/>
    <col min="4" max="4" width="10.7109375" style="1" customWidth="1"/>
    <col min="5" max="5" width="10" style="1" customWidth="1"/>
    <col min="6" max="6" width="11.42578125" style="1" customWidth="1"/>
    <col min="7" max="7" width="12.7109375" style="1" customWidth="1"/>
    <col min="8" max="8" width="11" style="1" customWidth="1"/>
    <col min="9" max="16384" width="9.140625" style="1"/>
  </cols>
  <sheetData>
    <row r="1" spans="1:8">
      <c r="A1" s="41" t="str">
        <f>+C1.1!A1</f>
        <v>ลูกค้า ห้างหุ้นส่วนจำกัด จรัญ อำภา ทรานสปอร์ต</v>
      </c>
      <c r="F1" s="1" t="s">
        <v>7</v>
      </c>
      <c r="H1" s="71" t="s">
        <v>12</v>
      </c>
    </row>
    <row r="2" spans="1:8">
      <c r="A2" s="1" t="s">
        <v>143</v>
      </c>
      <c r="F2" s="72" t="s">
        <v>8</v>
      </c>
      <c r="G2" s="73" t="s">
        <v>9</v>
      </c>
    </row>
    <row r="3" spans="1:8">
      <c r="A3" s="1" t="str">
        <f>+C1.1!A3</f>
        <v>ณ 31 ธันวาคม 2559</v>
      </c>
      <c r="F3" s="72" t="s">
        <v>10</v>
      </c>
      <c r="G3" s="73" t="s">
        <v>9</v>
      </c>
    </row>
    <row r="4" spans="1:8">
      <c r="A4" s="45" t="s">
        <v>0</v>
      </c>
      <c r="B4" s="45" t="s">
        <v>18</v>
      </c>
      <c r="C4" s="74" t="s">
        <v>1</v>
      </c>
      <c r="D4" s="45" t="s">
        <v>2</v>
      </c>
      <c r="E4" s="501" t="s">
        <v>3</v>
      </c>
      <c r="F4" s="503"/>
      <c r="G4" s="45" t="s">
        <v>4</v>
      </c>
      <c r="H4" s="45" t="s">
        <v>48</v>
      </c>
    </row>
    <row r="5" spans="1:8">
      <c r="A5" s="75"/>
      <c r="B5" s="75"/>
      <c r="C5" s="76"/>
      <c r="D5" s="46">
        <f>+C1.1!D5</f>
        <v>2560</v>
      </c>
      <c r="E5" s="46" t="str">
        <f>+C1.1!E5</f>
        <v>Dr</v>
      </c>
      <c r="F5" s="46" t="str">
        <f>+C1.1!F5</f>
        <v>Cr</v>
      </c>
      <c r="G5" s="46">
        <f>+C1.1!G5</f>
        <v>2560</v>
      </c>
      <c r="H5" s="46">
        <f>+C1.1!H5</f>
        <v>2559</v>
      </c>
    </row>
    <row r="6" spans="1:8">
      <c r="A6" s="250"/>
      <c r="B6" s="42"/>
      <c r="C6" s="251"/>
      <c r="D6" s="42"/>
      <c r="E6" s="251"/>
      <c r="F6" s="42"/>
      <c r="G6" s="42"/>
      <c r="H6" s="42"/>
    </row>
    <row r="7" spans="1:8">
      <c r="A7" s="367" t="s">
        <v>207</v>
      </c>
      <c r="B7" s="82" t="s">
        <v>182</v>
      </c>
      <c r="C7" s="96"/>
      <c r="D7" s="309">
        <v>3600000</v>
      </c>
      <c r="E7" s="85"/>
      <c r="F7" s="86"/>
      <c r="G7" s="86">
        <f>SUM(D7+E7-F7)</f>
        <v>3600000</v>
      </c>
      <c r="H7" s="309">
        <v>2600000</v>
      </c>
    </row>
    <row r="8" spans="1:8">
      <c r="A8" s="298"/>
      <c r="B8" s="94"/>
      <c r="C8" s="95"/>
      <c r="D8" s="259"/>
      <c r="E8" s="299"/>
      <c r="F8" s="259"/>
      <c r="G8" s="259"/>
      <c r="H8" s="259"/>
    </row>
    <row r="9" spans="1:8">
      <c r="A9" s="80"/>
      <c r="B9" s="80"/>
      <c r="C9" s="41"/>
      <c r="D9" s="181"/>
      <c r="E9" s="97"/>
      <c r="F9" s="181"/>
      <c r="G9" s="181"/>
      <c r="H9" s="181"/>
    </row>
    <row r="10" spans="1:8">
      <c r="A10" s="75"/>
      <c r="B10" s="75"/>
      <c r="C10" s="76"/>
      <c r="D10" s="91">
        <f>SUM(D7:D9)</f>
        <v>3600000</v>
      </c>
      <c r="E10" s="92">
        <f>SUM(E7:E9)</f>
        <v>0</v>
      </c>
      <c r="F10" s="92">
        <f>SUM(F7:F9)</f>
        <v>0</v>
      </c>
      <c r="G10" s="91">
        <f>SUM(G7:G9)</f>
        <v>3600000</v>
      </c>
      <c r="H10" s="48">
        <f>SUM(H7:H9)</f>
        <v>2600000</v>
      </c>
    </row>
  </sheetData>
  <mergeCells count="1">
    <mergeCell ref="E4:F4"/>
  </mergeCells>
  <pageMargins left="0.75" right="0.75" top="1" bottom="1" header="0.5" footer="0.5"/>
  <pageSetup paperSize="9" orientation="portrait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H11"/>
  <sheetViews>
    <sheetView zoomScale="120" workbookViewId="0">
      <selection activeCell="A74" sqref="A74"/>
    </sheetView>
  </sheetViews>
  <sheetFormatPr defaultColWidth="9.140625" defaultRowHeight="21"/>
  <cols>
    <col min="1" max="1" width="25.5703125" style="1" customWidth="1"/>
    <col min="2" max="2" width="9.28515625" style="1" customWidth="1"/>
    <col min="3" max="3" width="6.28515625" style="1" customWidth="1"/>
    <col min="4" max="4" width="10.7109375" style="1" customWidth="1"/>
    <col min="5" max="5" width="10" style="1" customWidth="1"/>
    <col min="6" max="6" width="11.42578125" style="1" customWidth="1"/>
    <col min="7" max="7" width="12.7109375" style="1" customWidth="1"/>
    <col min="8" max="8" width="11" style="1" customWidth="1"/>
    <col min="9" max="16384" width="9.140625" style="1"/>
  </cols>
  <sheetData>
    <row r="1" spans="1:8">
      <c r="A1" s="41" t="str">
        <f>+C1.1!A1</f>
        <v>ลูกค้า ห้างหุ้นส่วนจำกัด จรัญ อำภา ทรานสปอร์ต</v>
      </c>
      <c r="F1" s="1" t="s">
        <v>7</v>
      </c>
      <c r="H1" s="71" t="s">
        <v>12</v>
      </c>
    </row>
    <row r="2" spans="1:8">
      <c r="A2" s="1" t="s">
        <v>144</v>
      </c>
      <c r="F2" s="72" t="s">
        <v>8</v>
      </c>
      <c r="G2" s="73" t="s">
        <v>9</v>
      </c>
    </row>
    <row r="3" spans="1:8">
      <c r="A3" s="1" t="str">
        <f>+C1.1!A3</f>
        <v>ณ 31 ธันวาคม 2559</v>
      </c>
      <c r="F3" s="72" t="s">
        <v>10</v>
      </c>
      <c r="G3" s="73" t="s">
        <v>9</v>
      </c>
    </row>
    <row r="4" spans="1:8">
      <c r="A4" s="45" t="s">
        <v>0</v>
      </c>
      <c r="B4" s="45" t="s">
        <v>18</v>
      </c>
      <c r="C4" s="74" t="s">
        <v>1</v>
      </c>
      <c r="D4" s="45" t="s">
        <v>2</v>
      </c>
      <c r="E4" s="501" t="s">
        <v>3</v>
      </c>
      <c r="F4" s="503"/>
      <c r="G4" s="45" t="s">
        <v>4</v>
      </c>
      <c r="H4" s="45" t="s">
        <v>48</v>
      </c>
    </row>
    <row r="5" spans="1:8">
      <c r="A5" s="75"/>
      <c r="B5" s="75"/>
      <c r="C5" s="76"/>
      <c r="D5" s="46">
        <f>+C1.1!D5</f>
        <v>2560</v>
      </c>
      <c r="E5" s="46" t="str">
        <f>+C1.1!E5</f>
        <v>Dr</v>
      </c>
      <c r="F5" s="46" t="str">
        <f>+C1.1!F5</f>
        <v>Cr</v>
      </c>
      <c r="G5" s="46">
        <f>+C1.1!G5</f>
        <v>2560</v>
      </c>
      <c r="H5" s="46">
        <f>+C1.1!H5</f>
        <v>2559</v>
      </c>
    </row>
    <row r="6" spans="1:8">
      <c r="A6" s="104"/>
      <c r="B6" s="78"/>
      <c r="C6" s="79"/>
      <c r="D6" s="78"/>
      <c r="E6" s="79"/>
      <c r="F6" s="78"/>
      <c r="G6" s="78"/>
      <c r="H6" s="80"/>
    </row>
    <row r="7" spans="1:8">
      <c r="A7" s="81" t="s">
        <v>208</v>
      </c>
      <c r="B7" s="82"/>
      <c r="C7" s="83"/>
      <c r="D7" s="93"/>
      <c r="E7" s="85"/>
      <c r="F7" s="86"/>
      <c r="G7" s="86">
        <f>SUM(D7+E7-F7)</f>
        <v>0</v>
      </c>
      <c r="H7" s="93"/>
    </row>
    <row r="8" spans="1:8">
      <c r="A8" s="81" t="s">
        <v>151</v>
      </c>
      <c r="B8" s="102"/>
      <c r="C8" s="180"/>
      <c r="D8" s="238"/>
      <c r="E8" s="90"/>
      <c r="F8" s="89"/>
      <c r="G8" s="86">
        <f t="shared" ref="G8:G9" si="0">SUM(D8+E8-F8)</f>
        <v>0</v>
      </c>
      <c r="H8" s="238"/>
    </row>
    <row r="9" spans="1:8">
      <c r="A9" s="87" t="s">
        <v>209</v>
      </c>
      <c r="B9" s="102"/>
      <c r="C9" s="180"/>
      <c r="D9" s="238"/>
      <c r="E9" s="90"/>
      <c r="F9" s="89"/>
      <c r="G9" s="86">
        <f t="shared" si="0"/>
        <v>0</v>
      </c>
      <c r="H9" s="238"/>
    </row>
    <row r="10" spans="1:8">
      <c r="A10" s="87"/>
      <c r="B10" s="87"/>
      <c r="C10" s="88"/>
      <c r="D10" s="89"/>
      <c r="E10" s="90"/>
      <c r="F10" s="89"/>
      <c r="G10" s="89"/>
      <c r="H10" s="89"/>
    </row>
    <row r="11" spans="1:8">
      <c r="A11" s="75"/>
      <c r="B11" s="75"/>
      <c r="C11" s="76"/>
      <c r="D11" s="91">
        <f>SUM(D7:D10)</f>
        <v>0</v>
      </c>
      <c r="E11" s="92"/>
      <c r="F11" s="91"/>
      <c r="G11" s="91">
        <f>SUM(G7:G10)</f>
        <v>0</v>
      </c>
      <c r="H11" s="48">
        <f>SUM(H7:H10)</f>
        <v>0</v>
      </c>
    </row>
  </sheetData>
  <mergeCells count="1">
    <mergeCell ref="E4:F4"/>
  </mergeCell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H19"/>
  <sheetViews>
    <sheetView zoomScale="120" workbookViewId="0">
      <selection activeCell="A74" sqref="A74"/>
    </sheetView>
  </sheetViews>
  <sheetFormatPr defaultColWidth="9.140625" defaultRowHeight="21"/>
  <cols>
    <col min="1" max="1" width="25.5703125" style="1" customWidth="1"/>
    <col min="2" max="2" width="9.28515625" style="1" customWidth="1"/>
    <col min="3" max="3" width="6.28515625" style="1" customWidth="1"/>
    <col min="4" max="4" width="10.7109375" style="1" customWidth="1"/>
    <col min="5" max="5" width="10" style="1" customWidth="1"/>
    <col min="6" max="6" width="11.42578125" style="1" customWidth="1"/>
    <col min="7" max="7" width="12.7109375" style="1" customWidth="1"/>
    <col min="8" max="8" width="11" style="1" customWidth="1"/>
    <col min="9" max="16384" width="9.140625" style="1"/>
  </cols>
  <sheetData>
    <row r="1" spans="1:8">
      <c r="A1" s="41" t="str">
        <f>+C1.1!A1</f>
        <v>ลูกค้า ห้างหุ้นส่วนจำกัด จรัญ อำภา ทรานสปอร์ต</v>
      </c>
      <c r="F1" s="1" t="s">
        <v>7</v>
      </c>
      <c r="H1" s="71" t="s">
        <v>12</v>
      </c>
    </row>
    <row r="2" spans="1:8">
      <c r="A2" s="1" t="s">
        <v>101</v>
      </c>
      <c r="F2" s="72" t="s">
        <v>8</v>
      </c>
      <c r="G2" s="73" t="s">
        <v>9</v>
      </c>
    </row>
    <row r="3" spans="1:8">
      <c r="A3" s="1" t="str">
        <f>+C1.1!A3</f>
        <v>ณ 31 ธันวาคม 2559</v>
      </c>
      <c r="F3" s="72" t="s">
        <v>10</v>
      </c>
      <c r="G3" s="73" t="s">
        <v>9</v>
      </c>
    </row>
    <row r="4" spans="1:8">
      <c r="A4" s="45" t="s">
        <v>0</v>
      </c>
      <c r="B4" s="45" t="s">
        <v>18</v>
      </c>
      <c r="C4" s="74" t="s">
        <v>1</v>
      </c>
      <c r="D4" s="45" t="s">
        <v>2</v>
      </c>
      <c r="E4" s="501" t="s">
        <v>3</v>
      </c>
      <c r="F4" s="503"/>
      <c r="G4" s="45" t="s">
        <v>4</v>
      </c>
      <c r="H4" s="45" t="s">
        <v>48</v>
      </c>
    </row>
    <row r="5" spans="1:8">
      <c r="A5" s="75"/>
      <c r="B5" s="75"/>
      <c r="C5" s="76"/>
      <c r="D5" s="46">
        <f>+C1.1!D5</f>
        <v>2560</v>
      </c>
      <c r="E5" s="46" t="str">
        <f>+C1.1!E5</f>
        <v>Dr</v>
      </c>
      <c r="F5" s="46" t="str">
        <f>+C1.1!F5</f>
        <v>Cr</v>
      </c>
      <c r="G5" s="46">
        <f>+C1.1!G5</f>
        <v>2560</v>
      </c>
      <c r="H5" s="46">
        <f>+C1.1!H5</f>
        <v>2559</v>
      </c>
    </row>
    <row r="6" spans="1:8">
      <c r="A6" s="250"/>
      <c r="B6" s="42"/>
      <c r="C6" s="251"/>
      <c r="D6" s="252"/>
      <c r="E6" s="253"/>
      <c r="F6" s="252"/>
      <c r="G6" s="252"/>
      <c r="H6" s="80"/>
    </row>
    <row r="7" spans="1:8">
      <c r="A7" s="368"/>
      <c r="B7" s="94" t="s">
        <v>179</v>
      </c>
      <c r="C7" s="95"/>
      <c r="D7" s="259"/>
      <c r="E7" s="299"/>
      <c r="F7" s="259"/>
      <c r="G7" s="259">
        <f>SUM(D7+E7-F7)</f>
        <v>0</v>
      </c>
      <c r="H7" s="259"/>
    </row>
    <row r="8" spans="1:8">
      <c r="A8" s="369" t="s">
        <v>210</v>
      </c>
      <c r="B8" s="94" t="s">
        <v>184</v>
      </c>
      <c r="C8" s="95"/>
      <c r="D8" s="259"/>
      <c r="E8" s="299"/>
      <c r="F8" s="259"/>
      <c r="G8" s="259">
        <f>SUM(D8+E8-F8)</f>
        <v>0</v>
      </c>
      <c r="H8" s="259"/>
    </row>
    <row r="9" spans="1:8">
      <c r="A9" s="369" t="s">
        <v>211</v>
      </c>
      <c r="B9" s="94" t="s">
        <v>181</v>
      </c>
      <c r="C9" s="95"/>
      <c r="D9" s="259"/>
      <c r="E9" s="299"/>
      <c r="F9" s="259"/>
      <c r="G9" s="259">
        <f t="shared" ref="G9:G14" si="0">SUM(D9+E9-F9)</f>
        <v>0</v>
      </c>
      <c r="H9" s="259"/>
    </row>
    <row r="10" spans="1:8">
      <c r="A10" s="369" t="s">
        <v>215</v>
      </c>
      <c r="B10" s="94"/>
      <c r="C10" s="95"/>
      <c r="D10" s="259"/>
      <c r="E10" s="299"/>
      <c r="F10" s="259"/>
      <c r="G10" s="259">
        <f t="shared" si="0"/>
        <v>0</v>
      </c>
      <c r="H10" s="259">
        <v>0</v>
      </c>
    </row>
    <row r="11" spans="1:8">
      <c r="A11" s="369" t="s">
        <v>212</v>
      </c>
      <c r="B11" s="94"/>
      <c r="C11" s="95"/>
      <c r="D11" s="259">
        <v>39882.910000000003</v>
      </c>
      <c r="E11" s="299"/>
      <c r="F11" s="259"/>
      <c r="G11" s="259">
        <f t="shared" si="0"/>
        <v>39882.910000000003</v>
      </c>
      <c r="H11" s="259">
        <v>0</v>
      </c>
    </row>
    <row r="12" spans="1:8">
      <c r="A12" s="6" t="s">
        <v>223</v>
      </c>
      <c r="B12" s="443"/>
      <c r="C12" s="355"/>
      <c r="D12" s="356"/>
      <c r="E12" s="351"/>
      <c r="F12" s="352"/>
      <c r="G12" s="259">
        <f t="shared" si="0"/>
        <v>0</v>
      </c>
      <c r="H12" s="356"/>
    </row>
    <row r="13" spans="1:8">
      <c r="A13" s="298" t="s">
        <v>213</v>
      </c>
      <c r="B13" s="94"/>
      <c r="C13" s="95"/>
      <c r="D13" s="356">
        <v>108180.86</v>
      </c>
      <c r="E13" s="299"/>
      <c r="F13" s="259">
        <v>104809.13</v>
      </c>
      <c r="G13" s="259">
        <f t="shared" si="0"/>
        <v>3371.7299999999959</v>
      </c>
      <c r="H13" s="259">
        <v>2593.36</v>
      </c>
    </row>
    <row r="14" spans="1:8">
      <c r="A14" s="370"/>
      <c r="B14" s="94"/>
      <c r="C14" s="95"/>
      <c r="D14" s="259"/>
      <c r="E14" s="299"/>
      <c r="F14" s="259"/>
      <c r="G14" s="259">
        <f t="shared" si="0"/>
        <v>0</v>
      </c>
      <c r="H14" s="259"/>
    </row>
    <row r="15" spans="1:8">
      <c r="A15" s="296"/>
      <c r="B15" s="334"/>
      <c r="C15" s="297"/>
      <c r="D15" s="254"/>
      <c r="E15" s="255"/>
      <c r="F15" s="256"/>
      <c r="G15" s="257">
        <f>SUM(D15+E15-F15)</f>
        <v>0</v>
      </c>
      <c r="H15" s="254"/>
    </row>
    <row r="16" spans="1:8">
      <c r="A16" s="75"/>
      <c r="B16" s="75"/>
      <c r="C16" s="76"/>
      <c r="D16" s="258">
        <f>SUM(D7:D15)</f>
        <v>148063.77000000002</v>
      </c>
      <c r="E16" s="258">
        <f>SUM(E7:E15)</f>
        <v>0</v>
      </c>
      <c r="F16" s="258">
        <f>SUM(F7:F15)</f>
        <v>104809.13</v>
      </c>
      <c r="G16" s="258">
        <f>SUM(G7:G15)</f>
        <v>43254.64</v>
      </c>
      <c r="H16" s="91">
        <f>SUM(H7:H15)</f>
        <v>2593.36</v>
      </c>
    </row>
    <row r="18" spans="4:8">
      <c r="D18" s="301"/>
      <c r="H18" s="301"/>
    </row>
    <row r="19" spans="4:8">
      <c r="D19" s="300"/>
    </row>
  </sheetData>
  <mergeCells count="1">
    <mergeCell ref="E4:F4"/>
  </mergeCells>
  <pageMargins left="0.74803149606299213" right="0.74803149606299213" top="0.98425196850393704" bottom="0.98425196850393704" header="0.51181102362204722" footer="0.51181102362204722"/>
  <pageSetup paperSize="9" scale="97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H9"/>
  <sheetViews>
    <sheetView zoomScale="120" workbookViewId="0">
      <selection activeCell="A74" sqref="A74"/>
    </sheetView>
  </sheetViews>
  <sheetFormatPr defaultColWidth="9.140625" defaultRowHeight="21"/>
  <cols>
    <col min="1" max="1" width="25.5703125" style="1" customWidth="1"/>
    <col min="2" max="2" width="9.28515625" style="1" customWidth="1"/>
    <col min="3" max="3" width="6.28515625" style="1" customWidth="1"/>
    <col min="4" max="4" width="11.7109375" style="1" customWidth="1"/>
    <col min="5" max="5" width="10" style="1" customWidth="1"/>
    <col min="6" max="6" width="11.42578125" style="1" customWidth="1"/>
    <col min="7" max="7" width="12.7109375" style="1" customWidth="1"/>
    <col min="8" max="8" width="12.140625" style="1" customWidth="1"/>
    <col min="9" max="16384" width="9.140625" style="1"/>
  </cols>
  <sheetData>
    <row r="1" spans="1:8">
      <c r="A1" s="41" t="str">
        <f>+C1.1!A1</f>
        <v>ลูกค้า ห้างหุ้นส่วนจำกัด จรัญ อำภา ทรานสปอร์ต</v>
      </c>
      <c r="F1" s="1" t="s">
        <v>7</v>
      </c>
      <c r="H1" s="71" t="s">
        <v>12</v>
      </c>
    </row>
    <row r="2" spans="1:8">
      <c r="A2" s="1" t="s">
        <v>145</v>
      </c>
      <c r="F2" s="72" t="s">
        <v>8</v>
      </c>
      <c r="G2" s="73" t="s">
        <v>9</v>
      </c>
    </row>
    <row r="3" spans="1:8">
      <c r="A3" s="1" t="str">
        <f>+C1.1!A3</f>
        <v>ณ 31 ธันวาคม 2559</v>
      </c>
      <c r="F3" s="72" t="s">
        <v>10</v>
      </c>
      <c r="G3" s="73" t="s">
        <v>9</v>
      </c>
    </row>
    <row r="4" spans="1:8">
      <c r="A4" s="45" t="s">
        <v>0</v>
      </c>
      <c r="B4" s="45" t="s">
        <v>18</v>
      </c>
      <c r="C4" s="74" t="s">
        <v>1</v>
      </c>
      <c r="D4" s="45" t="s">
        <v>2</v>
      </c>
      <c r="E4" s="501" t="s">
        <v>3</v>
      </c>
      <c r="F4" s="503"/>
      <c r="G4" s="45" t="s">
        <v>4</v>
      </c>
      <c r="H4" s="45" t="s">
        <v>48</v>
      </c>
    </row>
    <row r="5" spans="1:8">
      <c r="A5" s="75"/>
      <c r="B5" s="75"/>
      <c r="C5" s="76"/>
      <c r="D5" s="46">
        <f>+C1.1!D5</f>
        <v>2560</v>
      </c>
      <c r="E5" s="46" t="str">
        <f>+C1.1!E5</f>
        <v>Dr</v>
      </c>
      <c r="F5" s="46" t="str">
        <f>+C1.1!F5</f>
        <v>Cr</v>
      </c>
      <c r="G5" s="46">
        <f>+C1.1!G5</f>
        <v>2560</v>
      </c>
      <c r="H5" s="46">
        <f>+C1.1!H5</f>
        <v>2559</v>
      </c>
    </row>
    <row r="6" spans="1:8">
      <c r="A6" s="250"/>
      <c r="B6" s="42"/>
      <c r="C6" s="251"/>
      <c r="D6" s="42"/>
      <c r="E6" s="251"/>
      <c r="F6" s="42"/>
      <c r="G6" s="42"/>
      <c r="H6" s="80"/>
    </row>
    <row r="7" spans="1:8">
      <c r="A7" s="318" t="s">
        <v>152</v>
      </c>
      <c r="B7" s="319"/>
      <c r="C7" s="320"/>
      <c r="D7" s="309"/>
      <c r="E7" s="85"/>
      <c r="F7" s="322"/>
      <c r="G7" s="322">
        <f>SUM(D7+E7-F7)</f>
        <v>0</v>
      </c>
      <c r="H7" s="321">
        <v>0</v>
      </c>
    </row>
    <row r="8" spans="1:8">
      <c r="A8" s="87"/>
      <c r="B8" s="87"/>
      <c r="C8" s="88"/>
      <c r="D8" s="89"/>
      <c r="E8" s="90"/>
      <c r="F8" s="89"/>
      <c r="G8" s="89"/>
      <c r="H8" s="80"/>
    </row>
    <row r="9" spans="1:8">
      <c r="A9" s="75"/>
      <c r="B9" s="75"/>
      <c r="C9" s="76"/>
      <c r="D9" s="91">
        <f>SUM(D7:D8)</f>
        <v>0</v>
      </c>
      <c r="E9" s="92">
        <f>SUM(E7:E8)</f>
        <v>0</v>
      </c>
      <c r="F9" s="92">
        <f>SUM(F7:F8)</f>
        <v>0</v>
      </c>
      <c r="G9" s="91">
        <f>SUM(G7:G8)</f>
        <v>0</v>
      </c>
      <c r="H9" s="48">
        <f>SUM(H7:H8)</f>
        <v>0</v>
      </c>
    </row>
  </sheetData>
  <mergeCells count="1">
    <mergeCell ref="E4:F4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J25"/>
  <sheetViews>
    <sheetView topLeftCell="A4" zoomScale="120" workbookViewId="0">
      <selection activeCell="A74" sqref="A74"/>
    </sheetView>
  </sheetViews>
  <sheetFormatPr defaultColWidth="9.140625" defaultRowHeight="21"/>
  <cols>
    <col min="1" max="1" width="25.5703125" style="1" customWidth="1"/>
    <col min="2" max="2" width="9.28515625" style="1" customWidth="1"/>
    <col min="3" max="3" width="6.28515625" style="1" customWidth="1"/>
    <col min="4" max="4" width="13.28515625" style="1" customWidth="1"/>
    <col min="5" max="5" width="10" style="1" customWidth="1"/>
    <col min="6" max="6" width="11.42578125" style="1" customWidth="1"/>
    <col min="7" max="9" width="13.28515625" style="1" customWidth="1"/>
    <col min="10" max="10" width="11.42578125" style="1" bestFit="1" customWidth="1"/>
    <col min="11" max="16384" width="9.140625" style="1"/>
  </cols>
  <sheetData>
    <row r="1" spans="1:10">
      <c r="A1" s="41" t="s">
        <v>138</v>
      </c>
      <c r="F1" s="1" t="s">
        <v>7</v>
      </c>
      <c r="H1" s="71" t="s">
        <v>13</v>
      </c>
    </row>
    <row r="2" spans="1:10">
      <c r="A2" s="1" t="s">
        <v>94</v>
      </c>
      <c r="F2" s="72" t="s">
        <v>8</v>
      </c>
      <c r="G2" s="73" t="s">
        <v>9</v>
      </c>
    </row>
    <row r="3" spans="1:10">
      <c r="A3" s="1" t="str">
        <f>+C1.1!A3</f>
        <v>ณ 31 ธันวาคม 2559</v>
      </c>
      <c r="F3" s="72" t="s">
        <v>10</v>
      </c>
      <c r="G3" s="73" t="s">
        <v>9</v>
      </c>
    </row>
    <row r="4" spans="1:10">
      <c r="A4" s="45" t="s">
        <v>0</v>
      </c>
      <c r="B4" s="45" t="s">
        <v>18</v>
      </c>
      <c r="C4" s="74" t="s">
        <v>1</v>
      </c>
      <c r="D4" s="45" t="s">
        <v>2</v>
      </c>
      <c r="E4" s="501" t="s">
        <v>3</v>
      </c>
      <c r="F4" s="503"/>
      <c r="G4" s="45" t="s">
        <v>4</v>
      </c>
      <c r="H4" s="45" t="s">
        <v>48</v>
      </c>
    </row>
    <row r="5" spans="1:10">
      <c r="A5" s="75"/>
      <c r="B5" s="75"/>
      <c r="C5" s="76"/>
      <c r="D5" s="46">
        <f>+C1.1!D5</f>
        <v>2560</v>
      </c>
      <c r="E5" s="46" t="str">
        <f>+C1.1!E5</f>
        <v>Dr</v>
      </c>
      <c r="F5" s="46" t="str">
        <f>+C1.1!F5</f>
        <v>Cr</v>
      </c>
      <c r="G5" s="46">
        <f>+C1.1!G5</f>
        <v>2560</v>
      </c>
      <c r="H5" s="46">
        <f>+C1.1!H5</f>
        <v>2559</v>
      </c>
    </row>
    <row r="6" spans="1:10">
      <c r="A6" s="122" t="s">
        <v>79</v>
      </c>
      <c r="B6" s="78"/>
      <c r="C6" s="79"/>
      <c r="D6" s="78"/>
      <c r="E6" s="79"/>
      <c r="F6" s="78"/>
      <c r="G6" s="78"/>
      <c r="H6" s="93"/>
    </row>
    <row r="7" spans="1:10">
      <c r="A7" s="81" t="s">
        <v>308</v>
      </c>
      <c r="B7" s="82"/>
      <c r="C7" s="96"/>
      <c r="D7" s="309">
        <v>3569040</v>
      </c>
      <c r="E7" s="85"/>
      <c r="F7" s="86"/>
      <c r="G7" s="86">
        <f>SUM(D7+E7-F7)</f>
        <v>3569040</v>
      </c>
      <c r="H7" s="309">
        <v>1457000</v>
      </c>
      <c r="I7" s="129">
        <f>SUM(G7-H7)</f>
        <v>2112040</v>
      </c>
      <c r="J7" s="308"/>
    </row>
    <row r="8" spans="1:10">
      <c r="A8" s="81" t="s">
        <v>306</v>
      </c>
      <c r="B8" s="82"/>
      <c r="C8" s="271"/>
      <c r="D8" s="309">
        <v>33853.5</v>
      </c>
      <c r="E8" s="85"/>
      <c r="F8" s="86"/>
      <c r="G8" s="86">
        <f t="shared" ref="G8:G10" si="0">SUM(D8+E8-F8)</f>
        <v>33853.5</v>
      </c>
      <c r="H8" s="309">
        <v>20273.5</v>
      </c>
      <c r="I8" s="129">
        <f t="shared" ref="I8:I9" si="1">SUM(G8-H8)</f>
        <v>13580</v>
      </c>
    </row>
    <row r="9" spans="1:10">
      <c r="A9" s="81" t="s">
        <v>225</v>
      </c>
      <c r="B9" s="82"/>
      <c r="C9" s="271"/>
      <c r="D9" s="93">
        <f>60759.5</f>
        <v>60759.5</v>
      </c>
      <c r="E9" s="85"/>
      <c r="F9" s="86"/>
      <c r="G9" s="86">
        <f t="shared" ref="G9" si="2">SUM(D9+E9-F9)</f>
        <v>60759.5</v>
      </c>
      <c r="H9" s="93">
        <v>34107.5</v>
      </c>
      <c r="I9" s="129">
        <f t="shared" si="1"/>
        <v>26652</v>
      </c>
    </row>
    <row r="10" spans="1:10">
      <c r="A10" s="81" t="s">
        <v>307</v>
      </c>
      <c r="B10" s="82"/>
      <c r="C10" s="271"/>
      <c r="D10" s="309">
        <v>43492.99</v>
      </c>
      <c r="E10" s="85"/>
      <c r="F10" s="86"/>
      <c r="G10" s="86">
        <f t="shared" si="0"/>
        <v>43492.99</v>
      </c>
      <c r="H10" s="309">
        <v>40792.99</v>
      </c>
      <c r="I10" s="129">
        <f t="shared" ref="I10" si="3">SUM(G10-H10)</f>
        <v>2700</v>
      </c>
    </row>
    <row r="11" spans="1:10">
      <c r="A11" s="81"/>
      <c r="B11" s="82"/>
      <c r="C11" s="123"/>
      <c r="D11" s="124">
        <f>SUM(D7:D10)</f>
        <v>3707145.99</v>
      </c>
      <c r="E11" s="124">
        <f>SUM(E7:E10)</f>
        <v>0</v>
      </c>
      <c r="F11" s="124">
        <f>SUM(F7:F10)</f>
        <v>0</v>
      </c>
      <c r="G11" s="124">
        <f>SUM(G7:G10)</f>
        <v>3707145.99</v>
      </c>
      <c r="H11" s="124">
        <f>SUM(H7:H10)</f>
        <v>1552173.99</v>
      </c>
      <c r="I11" s="129">
        <f>SUM(G11-H11)</f>
        <v>2154972</v>
      </c>
    </row>
    <row r="12" spans="1:10">
      <c r="A12" s="125" t="s">
        <v>80</v>
      </c>
      <c r="B12" s="82"/>
      <c r="C12" s="123"/>
      <c r="D12" s="93"/>
      <c r="E12" s="85"/>
      <c r="F12" s="86"/>
      <c r="G12" s="103"/>
      <c r="H12" s="99"/>
      <c r="I12" s="129">
        <f>SUM(G12-H12)</f>
        <v>0</v>
      </c>
    </row>
    <row r="13" spans="1:10">
      <c r="A13" s="81" t="s">
        <v>308</v>
      </c>
      <c r="B13" s="82"/>
      <c r="C13" s="271"/>
      <c r="D13" s="309">
        <v>757941.74</v>
      </c>
      <c r="E13" s="85"/>
      <c r="F13" s="86"/>
      <c r="G13" s="86">
        <f t="shared" ref="G13:G16" si="4">SUM(D13+E13-F13)</f>
        <v>757941.74</v>
      </c>
      <c r="H13" s="309">
        <v>417882.07</v>
      </c>
      <c r="I13" s="129">
        <f t="shared" ref="I13:I16" si="5">SUM(G13-H13)</f>
        <v>340059.67</v>
      </c>
    </row>
    <row r="14" spans="1:10">
      <c r="A14" s="81" t="s">
        <v>306</v>
      </c>
      <c r="B14" s="82"/>
      <c r="C14" s="271"/>
      <c r="D14" s="309">
        <v>8510.83</v>
      </c>
      <c r="E14" s="85"/>
      <c r="F14" s="86"/>
      <c r="G14" s="86">
        <f t="shared" si="4"/>
        <v>8510.83</v>
      </c>
      <c r="H14" s="309">
        <v>3988.41</v>
      </c>
      <c r="I14" s="129">
        <f t="shared" si="5"/>
        <v>4522.42</v>
      </c>
    </row>
    <row r="15" spans="1:10">
      <c r="A15" s="81" t="s">
        <v>225</v>
      </c>
      <c r="B15" s="82"/>
      <c r="C15" s="271"/>
      <c r="D15" s="93">
        <v>25375.96</v>
      </c>
      <c r="E15" s="85"/>
      <c r="F15" s="86"/>
      <c r="G15" s="86">
        <f t="shared" ref="G15" si="6">SUM(D15+E15-F15)</f>
        <v>25375.96</v>
      </c>
      <c r="H15" s="93">
        <v>15588.76</v>
      </c>
      <c r="I15" s="129">
        <f t="shared" si="5"/>
        <v>9787.1999999999989</v>
      </c>
    </row>
    <row r="16" spans="1:10">
      <c r="A16" s="81" t="s">
        <v>307</v>
      </c>
      <c r="B16" s="82"/>
      <c r="C16" s="271"/>
      <c r="D16" s="309">
        <v>14610.67</v>
      </c>
      <c r="E16" s="85"/>
      <c r="F16" s="86"/>
      <c r="G16" s="86">
        <f t="shared" si="4"/>
        <v>14610.67</v>
      </c>
      <c r="H16" s="309">
        <v>6347.87</v>
      </c>
      <c r="I16" s="129">
        <f t="shared" si="5"/>
        <v>8262.7999999999993</v>
      </c>
    </row>
    <row r="17" spans="1:9">
      <c r="A17" s="81"/>
      <c r="B17" s="94"/>
      <c r="C17" s="95"/>
      <c r="D17" s="91">
        <f>SUM(D13:D16)</f>
        <v>806439.2</v>
      </c>
      <c r="E17" s="91">
        <f>SUM(E13:E16)</f>
        <v>0</v>
      </c>
      <c r="F17" s="91">
        <f>SUM(F13:F16)</f>
        <v>0</v>
      </c>
      <c r="G17" s="91">
        <f>SUM(G13:G16)</f>
        <v>806439.2</v>
      </c>
      <c r="H17" s="91">
        <f>SUM(H13:H16)</f>
        <v>443807.11</v>
      </c>
      <c r="I17" s="129">
        <f>SUM(G17-H17)</f>
        <v>362632.08999999997</v>
      </c>
    </row>
    <row r="18" spans="1:9">
      <c r="A18" s="75"/>
      <c r="B18" s="75"/>
      <c r="C18" s="76"/>
      <c r="D18" s="91">
        <f>SUM(D11-D17)</f>
        <v>2900706.79</v>
      </c>
      <c r="E18" s="91">
        <f>SUM(E11-E17)</f>
        <v>0</v>
      </c>
      <c r="F18" s="91">
        <f>SUM(F11-F17)</f>
        <v>0</v>
      </c>
      <c r="G18" s="91">
        <f>SUM(G11-G17)</f>
        <v>2900706.79</v>
      </c>
      <c r="H18" s="91">
        <f>SUM(H11-H17)</f>
        <v>1108366.8799999999</v>
      </c>
      <c r="I18" s="129"/>
    </row>
    <row r="20" spans="1:9">
      <c r="D20" s="309"/>
      <c r="G20" s="308"/>
    </row>
    <row r="21" spans="1:9">
      <c r="D21" s="309"/>
      <c r="G21" s="308"/>
      <c r="H21" s="242"/>
    </row>
    <row r="22" spans="1:9">
      <c r="D22" s="309"/>
      <c r="G22" s="308"/>
      <c r="H22" s="242"/>
    </row>
    <row r="23" spans="1:9">
      <c r="G23" s="308"/>
      <c r="H23" s="241"/>
    </row>
    <row r="25" spans="1:9">
      <c r="G25" s="308"/>
    </row>
  </sheetData>
  <mergeCells count="1">
    <mergeCell ref="E4:F4"/>
  </mergeCells>
  <phoneticPr fontId="0" type="noConversion"/>
  <pageMargins left="0.75" right="0.75" top="1" bottom="1" header="0.5" footer="0.5"/>
  <pageSetup paperSize="9" scale="74" orientation="portrait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H17"/>
  <sheetViews>
    <sheetView zoomScale="120" workbookViewId="0">
      <selection activeCell="A74" sqref="A74"/>
    </sheetView>
  </sheetViews>
  <sheetFormatPr defaultColWidth="9.140625" defaultRowHeight="21"/>
  <cols>
    <col min="1" max="1" width="25.5703125" style="1" customWidth="1"/>
    <col min="2" max="2" width="9.28515625" style="1" customWidth="1"/>
    <col min="3" max="3" width="6.28515625" style="1" customWidth="1"/>
    <col min="4" max="4" width="10.7109375" style="1" customWidth="1"/>
    <col min="5" max="5" width="10" style="1" customWidth="1"/>
    <col min="6" max="6" width="11.42578125" style="1" customWidth="1"/>
    <col min="7" max="7" width="12.7109375" style="1" customWidth="1"/>
    <col min="8" max="8" width="11" style="1" customWidth="1"/>
    <col min="9" max="16384" width="9.140625" style="1"/>
  </cols>
  <sheetData>
    <row r="1" spans="1:8">
      <c r="A1" s="41" t="str">
        <f>+C1.1!A1</f>
        <v>ลูกค้า ห้างหุ้นส่วนจำกัด จรัญ อำภา ทรานสปอร์ต</v>
      </c>
      <c r="F1" s="1" t="s">
        <v>7</v>
      </c>
      <c r="H1" s="71" t="s">
        <v>103</v>
      </c>
    </row>
    <row r="2" spans="1:8">
      <c r="A2" s="1" t="s">
        <v>104</v>
      </c>
      <c r="F2" s="72" t="s">
        <v>8</v>
      </c>
      <c r="G2" s="73" t="s">
        <v>9</v>
      </c>
    </row>
    <row r="3" spans="1:8">
      <c r="A3" s="1" t="str">
        <f>+C1.1!A3</f>
        <v>ณ 31 ธันวาคม 2559</v>
      </c>
      <c r="F3" s="72" t="s">
        <v>10</v>
      </c>
      <c r="G3" s="73" t="s">
        <v>9</v>
      </c>
    </row>
    <row r="4" spans="1:8">
      <c r="A4" s="45" t="s">
        <v>0</v>
      </c>
      <c r="B4" s="45" t="s">
        <v>18</v>
      </c>
      <c r="C4" s="74" t="s">
        <v>1</v>
      </c>
      <c r="D4" s="45" t="s">
        <v>2</v>
      </c>
      <c r="E4" s="501" t="s">
        <v>3</v>
      </c>
      <c r="F4" s="503"/>
      <c r="G4" s="45" t="s">
        <v>4</v>
      </c>
      <c r="H4" s="45" t="s">
        <v>48</v>
      </c>
    </row>
    <row r="5" spans="1:8">
      <c r="A5" s="75"/>
      <c r="B5" s="75"/>
      <c r="C5" s="76"/>
      <c r="D5" s="46">
        <f>+C1.1!D5</f>
        <v>2560</v>
      </c>
      <c r="E5" s="46" t="str">
        <f>+C1.1!E5</f>
        <v>Dr</v>
      </c>
      <c r="F5" s="46" t="str">
        <f>+C1.1!F5</f>
        <v>Cr</v>
      </c>
      <c r="G5" s="46">
        <f>+C1.1!G5</f>
        <v>2560</v>
      </c>
      <c r="H5" s="46">
        <f>+C1.1!H5</f>
        <v>2559</v>
      </c>
    </row>
    <row r="6" spans="1:8">
      <c r="A6" s="250"/>
      <c r="B6" s="42"/>
      <c r="C6" s="251"/>
      <c r="D6" s="42"/>
      <c r="E6" s="251"/>
      <c r="F6" s="42"/>
      <c r="G6" s="42"/>
      <c r="H6" s="80"/>
    </row>
    <row r="7" spans="1:8">
      <c r="A7" s="81" t="s">
        <v>296</v>
      </c>
      <c r="B7" s="82" t="s">
        <v>294</v>
      </c>
      <c r="C7" s="96"/>
      <c r="D7" s="309">
        <v>2000</v>
      </c>
      <c r="E7" s="85"/>
      <c r="F7" s="86"/>
      <c r="G7" s="86">
        <f>SUM(D7+E7-F7)</f>
        <v>2000</v>
      </c>
      <c r="H7" s="309">
        <v>2000</v>
      </c>
    </row>
    <row r="8" spans="1:8">
      <c r="A8" s="81" t="s">
        <v>210</v>
      </c>
      <c r="B8" s="82" t="s">
        <v>295</v>
      </c>
      <c r="C8" s="271"/>
      <c r="D8" s="309">
        <v>15000</v>
      </c>
      <c r="E8" s="85"/>
      <c r="F8" s="86"/>
      <c r="G8" s="86">
        <f>SUM(D8+E8-F8)</f>
        <v>15000</v>
      </c>
      <c r="H8" s="309">
        <v>10000</v>
      </c>
    </row>
    <row r="9" spans="1:8">
      <c r="A9" s="81" t="s">
        <v>119</v>
      </c>
      <c r="B9" s="82" t="s">
        <v>315</v>
      </c>
      <c r="C9" s="271"/>
      <c r="D9" s="309">
        <v>55196.63</v>
      </c>
      <c r="E9" s="85"/>
      <c r="F9" s="86"/>
      <c r="G9" s="86">
        <f t="shared" ref="G9:G12" si="0">SUM(D9+E9-F9)</f>
        <v>55196.63</v>
      </c>
      <c r="H9" s="309">
        <v>55196.63</v>
      </c>
    </row>
    <row r="10" spans="1:8">
      <c r="A10" s="81"/>
      <c r="B10" s="82"/>
      <c r="C10" s="271"/>
      <c r="D10" s="309"/>
      <c r="E10" s="85"/>
      <c r="F10" s="86"/>
      <c r="G10" s="86">
        <f t="shared" si="0"/>
        <v>0</v>
      </c>
      <c r="H10" s="309"/>
    </row>
    <row r="11" spans="1:8">
      <c r="A11" s="81"/>
      <c r="B11" s="82"/>
      <c r="C11" s="271"/>
      <c r="D11" s="309"/>
      <c r="E11" s="85"/>
      <c r="F11" s="86"/>
      <c r="G11" s="86">
        <f t="shared" si="0"/>
        <v>0</v>
      </c>
      <c r="H11" s="309"/>
    </row>
    <row r="12" spans="1:8">
      <c r="A12" s="369"/>
      <c r="B12" s="94"/>
      <c r="C12" s="95"/>
      <c r="D12" s="259"/>
      <c r="E12" s="299"/>
      <c r="F12" s="259"/>
      <c r="G12" s="259">
        <f t="shared" si="0"/>
        <v>0</v>
      </c>
      <c r="H12" s="259"/>
    </row>
    <row r="13" spans="1:8">
      <c r="A13" s="81"/>
      <c r="B13" s="82"/>
      <c r="C13" s="271"/>
      <c r="D13" s="309"/>
      <c r="E13" s="85"/>
      <c r="F13" s="86"/>
      <c r="G13" s="86"/>
      <c r="H13" s="309"/>
    </row>
    <row r="14" spans="1:8">
      <c r="A14" s="80"/>
      <c r="B14" s="80"/>
      <c r="C14" s="41"/>
      <c r="D14" s="181"/>
      <c r="E14" s="97"/>
      <c r="F14" s="181"/>
      <c r="G14" s="103">
        <f>SUM(D14+E14-F14)</f>
        <v>0</v>
      </c>
      <c r="H14" s="181"/>
    </row>
    <row r="15" spans="1:8">
      <c r="A15" s="75"/>
      <c r="B15" s="75"/>
      <c r="C15" s="76"/>
      <c r="D15" s="91">
        <f>SUM(D7:D14)</f>
        <v>72196.63</v>
      </c>
      <c r="E15" s="91">
        <f>SUM(E7:E14)</f>
        <v>0</v>
      </c>
      <c r="F15" s="91">
        <f>SUM(F7:F14)</f>
        <v>0</v>
      </c>
      <c r="G15" s="91">
        <f>SUM(G7:G14)</f>
        <v>72196.63</v>
      </c>
      <c r="H15" s="91">
        <f>SUM(H7:H14)</f>
        <v>67196.63</v>
      </c>
    </row>
    <row r="17" spans="8:8">
      <c r="H17" s="308"/>
    </row>
  </sheetData>
  <mergeCells count="1">
    <mergeCell ref="E4:F4"/>
  </mergeCells>
  <pageMargins left="0.74803149606299213" right="0.74803149606299213" top="0.98425196850393704" bottom="0.98425196850393704" header="0.51181102362204722" footer="0.51181102362204722"/>
  <pageSetup paperSize="9" scale="97" orientation="portrait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7030A0"/>
  </sheetPr>
  <dimension ref="A1:J11"/>
  <sheetViews>
    <sheetView zoomScale="120" workbookViewId="0">
      <selection activeCell="A74" sqref="A74"/>
    </sheetView>
  </sheetViews>
  <sheetFormatPr defaultColWidth="9.140625" defaultRowHeight="21"/>
  <cols>
    <col min="1" max="1" width="24.42578125" style="1" customWidth="1"/>
    <col min="2" max="2" width="8.85546875" style="1" customWidth="1"/>
    <col min="3" max="3" width="6.28515625" style="1" customWidth="1"/>
    <col min="4" max="4" width="11.85546875" style="1" customWidth="1"/>
    <col min="5" max="5" width="11.5703125" style="1" customWidth="1"/>
    <col min="6" max="6" width="11.42578125" style="1" customWidth="1"/>
    <col min="7" max="7" width="14" style="1" customWidth="1"/>
    <col min="8" max="8" width="11.5703125" style="1" customWidth="1"/>
    <col min="9" max="16384" width="9.140625" style="1"/>
  </cols>
  <sheetData>
    <row r="1" spans="1:10">
      <c r="A1" s="41" t="str">
        <f>+C1.1!A1</f>
        <v>ลูกค้า ห้างหุ้นส่วนจำกัด จรัญ อำภา ทรานสปอร์ต</v>
      </c>
      <c r="F1" s="1" t="s">
        <v>7</v>
      </c>
      <c r="H1" s="71" t="s">
        <v>103</v>
      </c>
    </row>
    <row r="2" spans="1:10">
      <c r="A2" s="1" t="s">
        <v>146</v>
      </c>
      <c r="F2" s="72" t="s">
        <v>8</v>
      </c>
      <c r="G2" s="73" t="s">
        <v>9</v>
      </c>
    </row>
    <row r="3" spans="1:10">
      <c r="A3" s="1" t="str">
        <f>+C1.1!A3</f>
        <v>ณ 31 ธันวาคม 2559</v>
      </c>
      <c r="F3" s="72" t="s">
        <v>10</v>
      </c>
      <c r="G3" s="73" t="s">
        <v>9</v>
      </c>
    </row>
    <row r="4" spans="1:10">
      <c r="A4" s="45" t="s">
        <v>0</v>
      </c>
      <c r="B4" s="45" t="s">
        <v>18</v>
      </c>
      <c r="C4" s="74" t="s">
        <v>1</v>
      </c>
      <c r="D4" s="45" t="s">
        <v>2</v>
      </c>
      <c r="E4" s="501" t="s">
        <v>3</v>
      </c>
      <c r="F4" s="503"/>
      <c r="G4" s="45" t="s">
        <v>4</v>
      </c>
      <c r="H4" s="45" t="s">
        <v>48</v>
      </c>
    </row>
    <row r="5" spans="1:10">
      <c r="A5" s="75"/>
      <c r="B5" s="75"/>
      <c r="C5" s="76"/>
      <c r="D5" s="46">
        <f>+C1.1!D5</f>
        <v>2560</v>
      </c>
      <c r="E5" s="46" t="str">
        <f>+C1.1!E5</f>
        <v>Dr</v>
      </c>
      <c r="F5" s="46" t="str">
        <f>+C1.1!F5</f>
        <v>Cr</v>
      </c>
      <c r="G5" s="46">
        <f>+C1.1!G5</f>
        <v>2560</v>
      </c>
      <c r="H5" s="46">
        <f>+C1.1!H5</f>
        <v>2559</v>
      </c>
    </row>
    <row r="6" spans="1:10">
      <c r="A6" s="42"/>
      <c r="B6" s="42"/>
      <c r="C6" s="251"/>
      <c r="D6" s="42"/>
      <c r="E6" s="251"/>
      <c r="F6" s="42"/>
      <c r="G6" s="42"/>
      <c r="H6" s="80"/>
    </row>
    <row r="7" spans="1:10">
      <c r="A7" s="41" t="s">
        <v>173</v>
      </c>
      <c r="B7" s="80">
        <v>1010212</v>
      </c>
      <c r="C7" s="41"/>
      <c r="D7" s="47"/>
      <c r="E7" s="41"/>
      <c r="F7" s="80"/>
      <c r="G7" s="270">
        <f>SUM(D7-E7+F7)</f>
        <v>0</v>
      </c>
      <c r="H7" s="372"/>
    </row>
    <row r="8" spans="1:10">
      <c r="A8" s="95"/>
      <c r="B8" s="82">
        <v>1010213</v>
      </c>
      <c r="C8" s="96"/>
      <c r="D8" s="100"/>
      <c r="E8" s="85"/>
      <c r="F8" s="86"/>
      <c r="G8" s="270">
        <f>SUM(D8-E8+F8)</f>
        <v>0</v>
      </c>
      <c r="H8" s="100"/>
    </row>
    <row r="9" spans="1:10">
      <c r="A9" s="95"/>
      <c r="B9" s="82"/>
      <c r="C9" s="83"/>
      <c r="D9" s="84"/>
      <c r="E9" s="85"/>
      <c r="F9" s="86"/>
      <c r="G9" s="99">
        <f>SUM(D9-E9+F9)</f>
        <v>0</v>
      </c>
      <c r="H9" s="84"/>
    </row>
    <row r="10" spans="1:10" ht="18.75" customHeight="1">
      <c r="A10" s="85"/>
      <c r="B10" s="82"/>
      <c r="C10" s="83"/>
      <c r="D10" s="84"/>
      <c r="E10" s="85"/>
      <c r="F10" s="86"/>
      <c r="G10" s="99">
        <f>SUM(D10-E10+F10)</f>
        <v>0</v>
      </c>
      <c r="H10" s="84"/>
      <c r="I10" s="130"/>
      <c r="J10" s="41"/>
    </row>
    <row r="11" spans="1:10">
      <c r="A11" s="75"/>
      <c r="B11" s="75"/>
      <c r="C11" s="76"/>
      <c r="D11" s="91">
        <f>SUM(D7:D10)</f>
        <v>0</v>
      </c>
      <c r="E11" s="91">
        <f>SUM(E7:E10)</f>
        <v>0</v>
      </c>
      <c r="F11" s="91">
        <f>SUM(F7:F10)</f>
        <v>0</v>
      </c>
      <c r="G11" s="91">
        <f>SUM(G7:G10)</f>
        <v>0</v>
      </c>
      <c r="H11" s="91">
        <f>SUM(H7:H10)</f>
        <v>0</v>
      </c>
    </row>
  </sheetData>
  <mergeCells count="1">
    <mergeCell ref="E4:F4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zoomScale="120" workbookViewId="0">
      <selection activeCell="B9" sqref="B9"/>
    </sheetView>
  </sheetViews>
  <sheetFormatPr defaultColWidth="9.140625" defaultRowHeight="21" customHeight="1"/>
  <cols>
    <col min="1" max="2" width="9.140625" style="60"/>
    <col min="3" max="3" width="20.85546875" style="60" customWidth="1"/>
    <col min="4" max="4" width="17" style="60" customWidth="1"/>
    <col min="5" max="5" width="2.7109375" style="60" customWidth="1"/>
    <col min="6" max="6" width="16" style="60" customWidth="1"/>
    <col min="7" max="7" width="2.140625" style="60" customWidth="1"/>
    <col min="8" max="8" width="17.42578125" style="60" customWidth="1"/>
    <col min="9" max="9" width="3.7109375" style="60" customWidth="1"/>
    <col min="10" max="10" width="11.5703125" style="172" bestFit="1" customWidth="1"/>
    <col min="11" max="16384" width="9.140625" style="60"/>
  </cols>
  <sheetData>
    <row r="1" spans="1:10" ht="21" customHeight="1">
      <c r="A1" s="505" t="e">
        <f>+'งบปี60 (2)'!#REF!</f>
        <v>#REF!</v>
      </c>
      <c r="B1" s="505"/>
      <c r="C1" s="505"/>
      <c r="D1" s="505"/>
      <c r="E1" s="505"/>
      <c r="F1" s="505"/>
      <c r="G1" s="505"/>
      <c r="H1" s="505"/>
      <c r="I1" s="505"/>
      <c r="J1" s="169"/>
    </row>
    <row r="2" spans="1:10" ht="21" customHeight="1">
      <c r="A2" s="506" t="s">
        <v>40</v>
      </c>
      <c r="B2" s="506"/>
      <c r="C2" s="506"/>
      <c r="D2" s="506"/>
      <c r="E2" s="506"/>
      <c r="F2" s="506"/>
      <c r="G2" s="506"/>
      <c r="H2" s="506"/>
      <c r="I2" s="506"/>
      <c r="J2" s="169"/>
    </row>
    <row r="3" spans="1:10" ht="21" customHeight="1">
      <c r="A3" s="507" t="str">
        <f>+'งบปี60 (2)'!A3</f>
        <v>สำหรับปีสิ้นสุดวันที่ 31 ธันวาคม 2560</v>
      </c>
      <c r="B3" s="507"/>
      <c r="C3" s="507"/>
      <c r="D3" s="507"/>
      <c r="E3" s="507"/>
      <c r="F3" s="507"/>
      <c r="G3" s="507"/>
      <c r="H3" s="507"/>
      <c r="I3" s="507"/>
      <c r="J3" s="170"/>
    </row>
    <row r="4" spans="1:10" ht="21" customHeight="1">
      <c r="A4" s="61"/>
      <c r="B4" s="61"/>
      <c r="C4" s="61"/>
      <c r="D4" s="136"/>
      <c r="E4" s="136"/>
      <c r="F4" s="165"/>
      <c r="G4" s="165"/>
      <c r="H4" s="166" t="s">
        <v>31</v>
      </c>
      <c r="I4" s="63"/>
      <c r="J4" s="171"/>
    </row>
    <row r="5" spans="1:10" ht="21" customHeight="1">
      <c r="A5" s="61"/>
      <c r="B5" s="61"/>
      <c r="C5" s="61"/>
      <c r="D5" s="136" t="s">
        <v>43</v>
      </c>
      <c r="E5" s="136"/>
      <c r="F5" s="167" t="s">
        <v>121</v>
      </c>
      <c r="G5" s="165"/>
      <c r="H5" s="165"/>
      <c r="I5" s="63"/>
      <c r="J5" s="171"/>
    </row>
    <row r="6" spans="1:10" ht="21" customHeight="1">
      <c r="A6" s="61"/>
      <c r="B6" s="61"/>
      <c r="C6" s="61"/>
      <c r="D6" s="168" t="s">
        <v>44</v>
      </c>
      <c r="E6" s="136"/>
      <c r="F6" s="168" t="s">
        <v>41</v>
      </c>
      <c r="G6" s="165"/>
      <c r="H6" s="168" t="s">
        <v>42</v>
      </c>
      <c r="I6" s="63"/>
      <c r="J6" s="171"/>
    </row>
    <row r="7" spans="1:10" ht="21" customHeight="1">
      <c r="A7" s="61"/>
      <c r="B7" s="61"/>
      <c r="C7" s="61"/>
      <c r="D7" s="61"/>
      <c r="E7" s="61"/>
      <c r="F7" s="62"/>
      <c r="G7" s="62"/>
      <c r="H7" s="62"/>
      <c r="I7" s="63"/>
      <c r="J7" s="171"/>
    </row>
    <row r="8" spans="1:10" ht="21.75" customHeight="1">
      <c r="A8" s="60" t="s">
        <v>127</v>
      </c>
      <c r="D8" s="132">
        <f>+'wps&amp;wpl'!C43</f>
        <v>0</v>
      </c>
      <c r="E8" s="133"/>
      <c r="F8" s="66">
        <f>+'wps&amp;wpl'!G44</f>
        <v>0</v>
      </c>
      <c r="G8" s="133"/>
      <c r="H8" s="132">
        <f>SUM(D8:F8)</f>
        <v>0</v>
      </c>
      <c r="I8" s="64"/>
    </row>
    <row r="9" spans="1:10" ht="21" customHeight="1">
      <c r="A9" s="65" t="s">
        <v>120</v>
      </c>
      <c r="D9" s="127">
        <f>+'wps&amp;wpl'!B35</f>
        <v>0</v>
      </c>
      <c r="E9" s="133"/>
      <c r="F9" s="66">
        <f>+'งบปี60 (2)'!I20</f>
        <v>1002378.4899999998</v>
      </c>
      <c r="G9" s="66"/>
      <c r="H9" s="66">
        <f>SUM(D9:F9)</f>
        <v>1002378.4899999998</v>
      </c>
      <c r="I9" s="64"/>
    </row>
    <row r="10" spans="1:10" ht="21" customHeight="1" thickBot="1">
      <c r="A10" s="60" t="s">
        <v>123</v>
      </c>
      <c r="D10" s="134">
        <f>SUM(D8:D9)</f>
        <v>0</v>
      </c>
      <c r="E10" s="133"/>
      <c r="F10" s="135">
        <f>SUM(F8:F9)</f>
        <v>1002378.4899999998</v>
      </c>
      <c r="G10" s="132"/>
      <c r="H10" s="135">
        <f>SUM(H8:H9)</f>
        <v>1002378.4899999998</v>
      </c>
      <c r="I10" s="66"/>
      <c r="J10" s="173" t="e">
        <f>+H10-'งบปี60 (2)'!#REF!</f>
        <v>#REF!</v>
      </c>
    </row>
    <row r="11" spans="1:10" ht="21" customHeight="1" thickTop="1">
      <c r="D11" s="133"/>
      <c r="E11" s="133"/>
      <c r="F11" s="133"/>
      <c r="G11" s="133"/>
      <c r="H11" s="133"/>
    </row>
    <row r="12" spans="1:10" ht="21" customHeight="1">
      <c r="A12" s="65"/>
    </row>
    <row r="23" spans="1:10" s="52" customFormat="1" ht="22.5" customHeight="1">
      <c r="A23" s="504" t="s">
        <v>52</v>
      </c>
      <c r="B23" s="504"/>
      <c r="C23" s="504"/>
      <c r="D23" s="504"/>
      <c r="E23" s="504"/>
      <c r="F23" s="504"/>
      <c r="G23" s="504"/>
      <c r="H23" s="504"/>
      <c r="I23" s="504"/>
      <c r="J23" s="174"/>
    </row>
    <row r="26" spans="1:10" s="52" customFormat="1" ht="22.5" customHeight="1">
      <c r="A26" s="504" t="e">
        <f>+'งบปี60 (2)'!#REF!</f>
        <v>#REF!</v>
      </c>
      <c r="B26" s="504"/>
      <c r="C26" s="504"/>
      <c r="D26" s="504"/>
      <c r="E26" s="504"/>
      <c r="F26" s="504"/>
      <c r="G26" s="504"/>
      <c r="H26" s="504"/>
      <c r="I26" s="504"/>
      <c r="J26" s="174"/>
    </row>
    <row r="27" spans="1:10" s="52" customFormat="1" ht="21" customHeight="1">
      <c r="A27" s="504" t="e">
        <f>+'งบปี60 (2)'!#REF!</f>
        <v>#REF!</v>
      </c>
      <c r="B27" s="504"/>
      <c r="C27" s="504"/>
      <c r="D27" s="504"/>
      <c r="E27" s="504"/>
      <c r="F27" s="504"/>
      <c r="G27" s="504"/>
      <c r="H27" s="504"/>
      <c r="I27" s="504"/>
      <c r="J27" s="174"/>
    </row>
  </sheetData>
  <mergeCells count="6">
    <mergeCell ref="A26:I26"/>
    <mergeCell ref="A27:I27"/>
    <mergeCell ref="A23:I23"/>
    <mergeCell ref="A1:I1"/>
    <mergeCell ref="A2:I2"/>
    <mergeCell ref="A3:I3"/>
  </mergeCells>
  <phoneticPr fontId="0" type="noConversion"/>
  <pageMargins left="0.97" right="0.26" top="0.71" bottom="1" header="0.5" footer="0.5"/>
  <pageSetup orientation="portrait" horizontalDpi="180" verticalDpi="180" r:id="rId1"/>
  <headerFooter alignWithMargins="0">
    <oddFooter>&amp;L&amp;"Angsana New,ตัวปกติ"         หมายเหตุประกอบงบการเงินเป็นส่วนหนึ่งของงบการเงินนี้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J23"/>
  <sheetViews>
    <sheetView topLeftCell="A7" zoomScale="120" workbookViewId="0">
      <selection activeCell="A74" sqref="A74"/>
    </sheetView>
  </sheetViews>
  <sheetFormatPr defaultColWidth="9.140625" defaultRowHeight="21"/>
  <cols>
    <col min="1" max="1" width="24.42578125" style="1" customWidth="1"/>
    <col min="2" max="2" width="8.85546875" style="1" customWidth="1"/>
    <col min="3" max="3" width="6.28515625" style="1" customWidth="1"/>
    <col min="4" max="4" width="11.85546875" style="1" customWidth="1"/>
    <col min="5" max="5" width="11.5703125" style="1" customWidth="1"/>
    <col min="6" max="6" width="11.42578125" style="1" customWidth="1"/>
    <col min="7" max="7" width="14" style="1" customWidth="1"/>
    <col min="8" max="8" width="11.5703125" style="1" customWidth="1"/>
    <col min="9" max="16384" width="9.140625" style="1"/>
  </cols>
  <sheetData>
    <row r="1" spans="1:9">
      <c r="A1" s="41" t="str">
        <f>+C1.1!A1</f>
        <v>ลูกค้า ห้างหุ้นส่วนจำกัด จรัญ อำภา ทรานสปอร์ต</v>
      </c>
      <c r="F1" s="1" t="s">
        <v>7</v>
      </c>
      <c r="H1" s="71" t="s">
        <v>105</v>
      </c>
    </row>
    <row r="2" spans="1:9">
      <c r="A2" s="1" t="s">
        <v>140</v>
      </c>
      <c r="F2" s="72" t="s">
        <v>8</v>
      </c>
      <c r="G2" s="73" t="s">
        <v>9</v>
      </c>
    </row>
    <row r="3" spans="1:9">
      <c r="A3" s="1" t="str">
        <f>+C1.1!A3</f>
        <v>ณ 31 ธันวาคม 2559</v>
      </c>
      <c r="F3" s="72" t="s">
        <v>10</v>
      </c>
      <c r="G3" s="73" t="s">
        <v>9</v>
      </c>
    </row>
    <row r="4" spans="1:9">
      <c r="A4" s="45" t="s">
        <v>0</v>
      </c>
      <c r="B4" s="45" t="s">
        <v>18</v>
      </c>
      <c r="C4" s="74" t="s">
        <v>1</v>
      </c>
      <c r="D4" s="45" t="s">
        <v>2</v>
      </c>
      <c r="E4" s="501" t="s">
        <v>3</v>
      </c>
      <c r="F4" s="503"/>
      <c r="G4" s="45" t="s">
        <v>4</v>
      </c>
      <c r="H4" s="45" t="s">
        <v>48</v>
      </c>
    </row>
    <row r="5" spans="1:9">
      <c r="A5" s="75"/>
      <c r="B5" s="75"/>
      <c r="C5" s="76"/>
      <c r="D5" s="46">
        <f>+C1.1!D5</f>
        <v>2560</v>
      </c>
      <c r="E5" s="46" t="str">
        <f>+C1.1!E5</f>
        <v>Dr</v>
      </c>
      <c r="F5" s="46" t="str">
        <f>+C1.1!F5</f>
        <v>Cr</v>
      </c>
      <c r="G5" s="46">
        <f>+C1.1!G5</f>
        <v>2560</v>
      </c>
      <c r="H5" s="46">
        <f>+C1.1!H5</f>
        <v>2559</v>
      </c>
    </row>
    <row r="6" spans="1:9">
      <c r="A6" s="42"/>
      <c r="B6" s="42"/>
      <c r="C6" s="251"/>
      <c r="D6" s="42"/>
      <c r="E6" s="251"/>
      <c r="F6" s="42"/>
      <c r="G6" s="42"/>
      <c r="H6" s="371"/>
    </row>
    <row r="7" spans="1:9">
      <c r="A7" s="41"/>
      <c r="B7" s="80"/>
      <c r="C7" s="41"/>
      <c r="D7" s="80"/>
      <c r="E7" s="41"/>
      <c r="F7" s="80"/>
      <c r="G7" s="80"/>
      <c r="H7" s="372"/>
    </row>
    <row r="8" spans="1:9">
      <c r="A8" s="95" t="s">
        <v>277</v>
      </c>
      <c r="B8" s="478" t="s">
        <v>278</v>
      </c>
      <c r="C8" s="373"/>
      <c r="D8" s="99">
        <v>9228</v>
      </c>
      <c r="E8" s="95"/>
      <c r="F8" s="81"/>
      <c r="G8" s="270">
        <f>SUM(D8-E8+F8)</f>
        <v>9228</v>
      </c>
      <c r="H8" s="99">
        <v>20800</v>
      </c>
    </row>
    <row r="9" spans="1:9">
      <c r="A9" s="95" t="s">
        <v>279</v>
      </c>
      <c r="B9" s="478" t="s">
        <v>304</v>
      </c>
      <c r="C9" s="373"/>
      <c r="D9" s="99">
        <v>339400</v>
      </c>
      <c r="E9" s="85"/>
      <c r="F9" s="86"/>
      <c r="G9" s="270">
        <f t="shared" ref="G9" si="0">SUM(D9-E9+F9)</f>
        <v>339400</v>
      </c>
      <c r="H9" s="99">
        <v>342890</v>
      </c>
    </row>
    <row r="10" spans="1:9">
      <c r="A10" s="95" t="s">
        <v>280</v>
      </c>
      <c r="B10" s="82" t="s">
        <v>174</v>
      </c>
      <c r="C10" s="83"/>
      <c r="D10" s="84">
        <v>4429.5</v>
      </c>
      <c r="E10" s="85"/>
      <c r="F10" s="86"/>
      <c r="G10" s="270">
        <f t="shared" ref="G10:G16" si="1">SUM(D10-E10+F10)</f>
        <v>4429.5</v>
      </c>
      <c r="H10" s="84">
        <v>149697.89000000001</v>
      </c>
    </row>
    <row r="11" spans="1:9">
      <c r="A11" s="95" t="s">
        <v>281</v>
      </c>
      <c r="B11" s="82" t="s">
        <v>224</v>
      </c>
      <c r="C11" s="83"/>
      <c r="D11" s="84">
        <v>180000</v>
      </c>
      <c r="E11" s="85"/>
      <c r="F11" s="86"/>
      <c r="G11" s="270">
        <f t="shared" si="1"/>
        <v>180000</v>
      </c>
      <c r="H11" s="84">
        <v>180000</v>
      </c>
    </row>
    <row r="12" spans="1:9">
      <c r="A12" s="95" t="s">
        <v>309</v>
      </c>
      <c r="B12" s="82"/>
      <c r="C12" s="83"/>
      <c r="D12" s="84">
        <v>70632.75</v>
      </c>
      <c r="E12" s="85"/>
      <c r="F12" s="86"/>
      <c r="G12" s="270">
        <f t="shared" si="1"/>
        <v>70632.75</v>
      </c>
      <c r="H12" s="84">
        <f>38536+3575.86</f>
        <v>42111.86</v>
      </c>
    </row>
    <row r="13" spans="1:9">
      <c r="A13" s="95"/>
      <c r="B13" s="82"/>
      <c r="C13" s="83"/>
      <c r="D13" s="84"/>
      <c r="E13" s="85"/>
      <c r="F13" s="86"/>
      <c r="G13" s="270">
        <f t="shared" si="1"/>
        <v>0</v>
      </c>
      <c r="H13" s="84"/>
      <c r="I13" s="264">
        <f>+D8+D10+D12+D13</f>
        <v>84290.25</v>
      </c>
    </row>
    <row r="14" spans="1:9">
      <c r="A14" s="95"/>
      <c r="B14" s="82"/>
      <c r="C14" s="271"/>
      <c r="D14" s="100"/>
      <c r="E14" s="85"/>
      <c r="F14" s="86"/>
      <c r="G14" s="270">
        <f t="shared" si="1"/>
        <v>0</v>
      </c>
      <c r="H14" s="100"/>
    </row>
    <row r="15" spans="1:9">
      <c r="A15" s="95"/>
      <c r="B15" s="82"/>
      <c r="C15" s="271"/>
      <c r="D15" s="100"/>
      <c r="E15" s="85"/>
      <c r="F15" s="86"/>
      <c r="G15" s="270">
        <f t="shared" si="1"/>
        <v>0</v>
      </c>
      <c r="H15" s="100"/>
      <c r="I15" s="264">
        <f>+D8+D10+D12</f>
        <v>84290.25</v>
      </c>
    </row>
    <row r="16" spans="1:9">
      <c r="A16" s="95"/>
      <c r="B16" s="82"/>
      <c r="C16" s="271"/>
      <c r="D16" s="100"/>
      <c r="E16" s="85"/>
      <c r="F16" s="86"/>
      <c r="G16" s="270">
        <f t="shared" si="1"/>
        <v>0</v>
      </c>
      <c r="H16" s="100"/>
    </row>
    <row r="17" spans="1:10">
      <c r="A17" s="95"/>
      <c r="B17" s="81"/>
      <c r="C17" s="95"/>
      <c r="D17" s="270"/>
      <c r="E17" s="95"/>
      <c r="F17" s="81"/>
      <c r="G17" s="270"/>
      <c r="H17" s="270"/>
    </row>
    <row r="18" spans="1:10">
      <c r="A18" s="95"/>
      <c r="B18" s="81"/>
      <c r="C18" s="95"/>
      <c r="D18" s="270"/>
      <c r="E18" s="95"/>
      <c r="F18" s="81"/>
      <c r="G18" s="270"/>
      <c r="H18" s="270"/>
    </row>
    <row r="19" spans="1:10">
      <c r="A19" s="95"/>
      <c r="B19" s="81"/>
      <c r="C19" s="95"/>
      <c r="D19" s="270"/>
      <c r="E19" s="95"/>
      <c r="F19" s="81"/>
      <c r="G19" s="270"/>
      <c r="H19" s="270"/>
    </row>
    <row r="20" spans="1:10">
      <c r="A20" s="95"/>
      <c r="B20" s="82"/>
      <c r="C20" s="96"/>
      <c r="D20" s="100"/>
      <c r="E20" s="85"/>
      <c r="F20" s="86"/>
      <c r="G20" s="270">
        <f>SUM(D20-E20+F20)</f>
        <v>0</v>
      </c>
      <c r="H20" s="100"/>
    </row>
    <row r="21" spans="1:10">
      <c r="A21" s="95"/>
      <c r="B21" s="82"/>
      <c r="C21" s="96"/>
      <c r="D21" s="100"/>
      <c r="E21" s="85"/>
      <c r="F21" s="86"/>
      <c r="G21" s="270">
        <f>SUM(D21-E21+F21)</f>
        <v>0</v>
      </c>
      <c r="H21" s="100"/>
    </row>
    <row r="22" spans="1:10" ht="18.75" customHeight="1">
      <c r="A22" s="85"/>
      <c r="B22" s="82"/>
      <c r="C22" s="83"/>
      <c r="D22" s="84"/>
      <c r="E22" s="85"/>
      <c r="F22" s="86"/>
      <c r="G22" s="99">
        <f>SUM(D22-E22+F22)</f>
        <v>0</v>
      </c>
      <c r="H22" s="84"/>
      <c r="I22" s="130"/>
      <c r="J22" s="41"/>
    </row>
    <row r="23" spans="1:10">
      <c r="A23" s="75"/>
      <c r="B23" s="75"/>
      <c r="C23" s="76"/>
      <c r="D23" s="91">
        <f>SUM(D8:D22)</f>
        <v>603690.25</v>
      </c>
      <c r="E23" s="91">
        <f>SUM(E8:E22)</f>
        <v>0</v>
      </c>
      <c r="F23" s="91">
        <f>SUM(F8:F22)</f>
        <v>0</v>
      </c>
      <c r="G23" s="91">
        <f>SUM(G8:G22)</f>
        <v>603690.25</v>
      </c>
      <c r="H23" s="91">
        <f>SUM(H8:H22)</f>
        <v>735499.75</v>
      </c>
    </row>
  </sheetData>
  <mergeCells count="1">
    <mergeCell ref="E4:F4"/>
  </mergeCells>
  <pageMargins left="0.74803149606299213" right="0.74803149606299213" top="0.98425196850393704" bottom="0.98425196850393704" header="0.51181102362204722" footer="0.51181102362204722"/>
  <pageSetup paperSize="9" scale="86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7030A0"/>
  </sheetPr>
  <dimension ref="A1:J11"/>
  <sheetViews>
    <sheetView zoomScale="120" workbookViewId="0">
      <selection activeCell="A74" sqref="A74"/>
    </sheetView>
  </sheetViews>
  <sheetFormatPr defaultColWidth="9.140625" defaultRowHeight="21"/>
  <cols>
    <col min="1" max="1" width="24.42578125" style="1" customWidth="1"/>
    <col min="2" max="2" width="8.85546875" style="1" customWidth="1"/>
    <col min="3" max="3" width="6.28515625" style="1" customWidth="1"/>
    <col min="4" max="4" width="11.85546875" style="1" customWidth="1"/>
    <col min="5" max="5" width="11.5703125" style="1" customWidth="1"/>
    <col min="6" max="6" width="11.42578125" style="1" customWidth="1"/>
    <col min="7" max="7" width="14" style="1" customWidth="1"/>
    <col min="8" max="8" width="11.5703125" style="1" customWidth="1"/>
    <col min="9" max="16384" width="9.140625" style="1"/>
  </cols>
  <sheetData>
    <row r="1" spans="1:10">
      <c r="A1" s="41" t="str">
        <f>+C1.1!A1</f>
        <v>ลูกค้า ห้างหุ้นส่วนจำกัด จรัญ อำภา ทรานสปอร์ต</v>
      </c>
      <c r="F1" s="1" t="s">
        <v>7</v>
      </c>
      <c r="H1" s="71" t="s">
        <v>105</v>
      </c>
    </row>
    <row r="2" spans="1:10">
      <c r="A2" s="1" t="s">
        <v>147</v>
      </c>
      <c r="F2" s="72" t="s">
        <v>8</v>
      </c>
      <c r="G2" s="73" t="s">
        <v>9</v>
      </c>
    </row>
    <row r="3" spans="1:10">
      <c r="A3" s="1" t="str">
        <f>+C1.1!A3</f>
        <v>ณ 31 ธันวาคม 2559</v>
      </c>
      <c r="F3" s="72" t="s">
        <v>10</v>
      </c>
      <c r="G3" s="73" t="s">
        <v>9</v>
      </c>
    </row>
    <row r="4" spans="1:10">
      <c r="A4" s="45" t="s">
        <v>0</v>
      </c>
      <c r="B4" s="45" t="s">
        <v>18</v>
      </c>
      <c r="C4" s="74" t="s">
        <v>1</v>
      </c>
      <c r="D4" s="45" t="s">
        <v>2</v>
      </c>
      <c r="E4" s="501" t="s">
        <v>3</v>
      </c>
      <c r="F4" s="503"/>
      <c r="G4" s="45" t="s">
        <v>4</v>
      </c>
      <c r="H4" s="45" t="s">
        <v>48</v>
      </c>
    </row>
    <row r="5" spans="1:10">
      <c r="A5" s="75"/>
      <c r="B5" s="75"/>
      <c r="C5" s="76"/>
      <c r="D5" s="46">
        <f>+C1.1!D5</f>
        <v>2560</v>
      </c>
      <c r="E5" s="46" t="str">
        <f>+C1.1!E5</f>
        <v>Dr</v>
      </c>
      <c r="F5" s="46" t="str">
        <f>+C1.1!F5</f>
        <v>Cr</v>
      </c>
      <c r="G5" s="46">
        <f>+C1.1!G5</f>
        <v>2560</v>
      </c>
      <c r="H5" s="46">
        <f>+C1.1!H5</f>
        <v>2559</v>
      </c>
    </row>
    <row r="6" spans="1:10">
      <c r="A6" s="42"/>
      <c r="B6" s="42"/>
      <c r="C6" s="251"/>
      <c r="D6" s="42"/>
      <c r="E6" s="251"/>
      <c r="F6" s="42"/>
      <c r="G6" s="42"/>
      <c r="H6" s="80"/>
    </row>
    <row r="7" spans="1:10">
      <c r="A7" s="95"/>
      <c r="B7" s="81"/>
      <c r="C7" s="95"/>
      <c r="D7" s="270">
        <v>0</v>
      </c>
      <c r="E7" s="95"/>
      <c r="F7" s="81"/>
      <c r="G7" s="270">
        <f>SUM(D7-E7+F7)</f>
        <v>0</v>
      </c>
      <c r="H7" s="81"/>
    </row>
    <row r="8" spans="1:10">
      <c r="A8" s="95"/>
      <c r="B8" s="82"/>
      <c r="C8" s="96"/>
      <c r="D8" s="100"/>
      <c r="E8" s="85"/>
      <c r="F8" s="86"/>
      <c r="G8" s="270">
        <f>SUM(D8-E8+F8)</f>
        <v>0</v>
      </c>
      <c r="H8" s="100"/>
    </row>
    <row r="9" spans="1:10">
      <c r="A9" s="95"/>
      <c r="B9" s="82"/>
      <c r="C9" s="83"/>
      <c r="D9" s="84"/>
      <c r="E9" s="85"/>
      <c r="F9" s="86"/>
      <c r="G9" s="99">
        <f>SUM(D9-E9+F9)</f>
        <v>0</v>
      </c>
      <c r="H9" s="84"/>
    </row>
    <row r="10" spans="1:10" ht="18.75" customHeight="1">
      <c r="A10" s="85"/>
      <c r="B10" s="82"/>
      <c r="C10" s="83"/>
      <c r="D10" s="84"/>
      <c r="E10" s="85"/>
      <c r="F10" s="86"/>
      <c r="G10" s="99">
        <f>SUM(D10-E10+F10)</f>
        <v>0</v>
      </c>
      <c r="H10" s="84"/>
      <c r="I10" s="130"/>
      <c r="J10" s="41"/>
    </row>
    <row r="11" spans="1:10">
      <c r="A11" s="75"/>
      <c r="B11" s="75"/>
      <c r="C11" s="76"/>
      <c r="D11" s="91">
        <f>SUM(D7:D10)</f>
        <v>0</v>
      </c>
      <c r="E11" s="91">
        <f>SUM(E7:E10)</f>
        <v>0</v>
      </c>
      <c r="F11" s="91">
        <f>SUM(F7:F10)</f>
        <v>0</v>
      </c>
      <c r="G11" s="91">
        <f>SUM(G7:G10)</f>
        <v>0</v>
      </c>
      <c r="H11" s="91">
        <f>SUM(H7:H10)</f>
        <v>0</v>
      </c>
    </row>
  </sheetData>
  <mergeCells count="1">
    <mergeCell ref="E4:F4"/>
  </mergeCells>
  <pageMargins left="0.75" right="0.75" top="1" bottom="1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7030A0"/>
  </sheetPr>
  <dimension ref="A1:J11"/>
  <sheetViews>
    <sheetView zoomScale="120" workbookViewId="0">
      <selection activeCell="A74" sqref="A74"/>
    </sheetView>
  </sheetViews>
  <sheetFormatPr defaultColWidth="9.140625" defaultRowHeight="21"/>
  <cols>
    <col min="1" max="1" width="24.42578125" style="1" customWidth="1"/>
    <col min="2" max="2" width="8.85546875" style="1" customWidth="1"/>
    <col min="3" max="3" width="6.28515625" style="1" customWidth="1"/>
    <col min="4" max="4" width="11.85546875" style="1" customWidth="1"/>
    <col min="5" max="5" width="11.5703125" style="1" customWidth="1"/>
    <col min="6" max="6" width="11.42578125" style="1" customWidth="1"/>
    <col min="7" max="7" width="14" style="1" customWidth="1"/>
    <col min="8" max="8" width="11.5703125" style="1" customWidth="1"/>
    <col min="9" max="16384" width="9.140625" style="1"/>
  </cols>
  <sheetData>
    <row r="1" spans="1:10">
      <c r="A1" s="41" t="str">
        <f>+C1.1!A1</f>
        <v>ลูกค้า ห้างหุ้นส่วนจำกัด จรัญ อำภา ทรานสปอร์ต</v>
      </c>
      <c r="F1" s="1" t="s">
        <v>7</v>
      </c>
      <c r="H1" s="71" t="s">
        <v>105</v>
      </c>
    </row>
    <row r="2" spans="1:10">
      <c r="A2" s="1" t="s">
        <v>148</v>
      </c>
      <c r="F2" s="72" t="s">
        <v>8</v>
      </c>
      <c r="G2" s="73" t="s">
        <v>9</v>
      </c>
    </row>
    <row r="3" spans="1:10">
      <c r="A3" s="1" t="str">
        <f>+C1.1!A3</f>
        <v>ณ 31 ธันวาคม 2559</v>
      </c>
      <c r="F3" s="72" t="s">
        <v>10</v>
      </c>
      <c r="G3" s="73" t="s">
        <v>9</v>
      </c>
    </row>
    <row r="4" spans="1:10">
      <c r="A4" s="45" t="s">
        <v>0</v>
      </c>
      <c r="B4" s="45" t="s">
        <v>18</v>
      </c>
      <c r="C4" s="74" t="s">
        <v>1</v>
      </c>
      <c r="D4" s="45" t="s">
        <v>2</v>
      </c>
      <c r="E4" s="501" t="s">
        <v>3</v>
      </c>
      <c r="F4" s="503"/>
      <c r="G4" s="45" t="s">
        <v>4</v>
      </c>
      <c r="H4" s="45" t="s">
        <v>48</v>
      </c>
    </row>
    <row r="5" spans="1:10">
      <c r="A5" s="75"/>
      <c r="B5" s="75"/>
      <c r="C5" s="76"/>
      <c r="D5" s="46">
        <f>+C1.1!D5</f>
        <v>2560</v>
      </c>
      <c r="E5" s="46" t="str">
        <f>+C1.1!E5</f>
        <v>Dr</v>
      </c>
      <c r="F5" s="46" t="str">
        <f>+C1.1!F5</f>
        <v>Cr</v>
      </c>
      <c r="G5" s="46">
        <f>+C1.1!G5</f>
        <v>2560</v>
      </c>
      <c r="H5" s="46">
        <f>+C1.1!H5</f>
        <v>2559</v>
      </c>
    </row>
    <row r="6" spans="1:10">
      <c r="A6" s="42"/>
      <c r="B6" s="42"/>
      <c r="C6" s="251"/>
      <c r="D6" s="42"/>
      <c r="E6" s="251"/>
      <c r="F6" s="42"/>
      <c r="G6" s="42"/>
      <c r="H6" s="80"/>
    </row>
    <row r="7" spans="1:10">
      <c r="A7" s="85" t="s">
        <v>117</v>
      </c>
      <c r="B7" s="82"/>
      <c r="C7" s="83"/>
      <c r="D7" s="84">
        <v>0</v>
      </c>
      <c r="E7" s="468"/>
      <c r="F7" s="81"/>
      <c r="G7" s="270">
        <f>SUM(D7-E7+F7)</f>
        <v>0</v>
      </c>
      <c r="H7" s="84"/>
    </row>
    <row r="8" spans="1:10">
      <c r="A8" s="95"/>
      <c r="B8" s="82"/>
      <c r="C8" s="96"/>
      <c r="D8" s="100"/>
      <c r="E8" s="85"/>
      <c r="F8" s="86"/>
      <c r="G8" s="270">
        <f>SUM(D8-E8+F8)</f>
        <v>0</v>
      </c>
      <c r="H8" s="100"/>
    </row>
    <row r="9" spans="1:10">
      <c r="A9" s="95"/>
      <c r="B9" s="82"/>
      <c r="C9" s="83"/>
      <c r="D9" s="84"/>
      <c r="E9" s="85"/>
      <c r="F9" s="86"/>
      <c r="G9" s="99">
        <f>SUM(D9-E9+F9)</f>
        <v>0</v>
      </c>
      <c r="H9" s="84"/>
    </row>
    <row r="10" spans="1:10" ht="18.75" customHeight="1">
      <c r="A10" s="85"/>
      <c r="B10" s="82"/>
      <c r="C10" s="83"/>
      <c r="D10" s="84"/>
      <c r="E10" s="85"/>
      <c r="F10" s="86"/>
      <c r="G10" s="99">
        <f>SUM(D10-E10+F10)</f>
        <v>0</v>
      </c>
      <c r="H10" s="84"/>
      <c r="I10" s="130"/>
      <c r="J10" s="41"/>
    </row>
    <row r="11" spans="1:10">
      <c r="A11" s="75"/>
      <c r="B11" s="75"/>
      <c r="C11" s="76"/>
      <c r="D11" s="91">
        <f>SUM(D7:D10)</f>
        <v>0</v>
      </c>
      <c r="E11" s="91">
        <f>SUM(E7:E10)</f>
        <v>0</v>
      </c>
      <c r="F11" s="91">
        <f>SUM(F7:F10)</f>
        <v>0</v>
      </c>
      <c r="G11" s="91">
        <f>SUM(G7:G10)</f>
        <v>0</v>
      </c>
      <c r="H11" s="91">
        <f>SUM(H7:H10)</f>
        <v>0</v>
      </c>
    </row>
  </sheetData>
  <mergeCells count="1">
    <mergeCell ref="E4:F4"/>
  </mergeCells>
  <pageMargins left="0.75" right="0.75" top="1" bottom="1" header="0.5" footer="0.5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7030A0"/>
  </sheetPr>
  <dimension ref="A1:J11"/>
  <sheetViews>
    <sheetView topLeftCell="A4" zoomScale="120" workbookViewId="0">
      <selection activeCell="A74" sqref="A74"/>
    </sheetView>
  </sheetViews>
  <sheetFormatPr defaultColWidth="9.140625" defaultRowHeight="21"/>
  <cols>
    <col min="1" max="1" width="24.42578125" style="1" customWidth="1"/>
    <col min="2" max="2" width="8.85546875" style="1" customWidth="1"/>
    <col min="3" max="3" width="6.28515625" style="1" customWidth="1"/>
    <col min="4" max="4" width="11.85546875" style="1" customWidth="1"/>
    <col min="5" max="5" width="11.5703125" style="1" customWidth="1"/>
    <col min="6" max="6" width="11.42578125" style="1" customWidth="1"/>
    <col min="7" max="7" width="14" style="1" customWidth="1"/>
    <col min="8" max="8" width="11.5703125" style="1" customWidth="1"/>
    <col min="9" max="16384" width="9.140625" style="1"/>
  </cols>
  <sheetData>
    <row r="1" spans="1:10">
      <c r="A1" s="41" t="str">
        <f>+C1.1!A1</f>
        <v>ลูกค้า ห้างหุ้นส่วนจำกัด จรัญ อำภา ทรานสปอร์ต</v>
      </c>
      <c r="F1" s="1" t="s">
        <v>7</v>
      </c>
      <c r="H1" s="71" t="s">
        <v>105</v>
      </c>
    </row>
    <row r="2" spans="1:10">
      <c r="A2" s="1" t="s">
        <v>149</v>
      </c>
      <c r="F2" s="72" t="s">
        <v>8</v>
      </c>
      <c r="G2" s="73" t="s">
        <v>9</v>
      </c>
    </row>
    <row r="3" spans="1:10">
      <c r="A3" s="1" t="str">
        <f>+C1.1!A3</f>
        <v>ณ 31 ธันวาคม 2559</v>
      </c>
      <c r="F3" s="72" t="s">
        <v>10</v>
      </c>
      <c r="G3" s="73" t="s">
        <v>9</v>
      </c>
    </row>
    <row r="4" spans="1:10">
      <c r="A4" s="45" t="s">
        <v>0</v>
      </c>
      <c r="B4" s="45" t="s">
        <v>18</v>
      </c>
      <c r="C4" s="74" t="s">
        <v>1</v>
      </c>
      <c r="D4" s="45" t="s">
        <v>2</v>
      </c>
      <c r="E4" s="501" t="s">
        <v>3</v>
      </c>
      <c r="F4" s="503"/>
      <c r="G4" s="45" t="s">
        <v>4</v>
      </c>
      <c r="H4" s="45" t="s">
        <v>48</v>
      </c>
    </row>
    <row r="5" spans="1:10">
      <c r="A5" s="75"/>
      <c r="B5" s="75"/>
      <c r="C5" s="76"/>
      <c r="D5" s="46">
        <f>+C1.1!D5</f>
        <v>2560</v>
      </c>
      <c r="E5" s="46" t="str">
        <f>+C1.1!E5</f>
        <v>Dr</v>
      </c>
      <c r="F5" s="46" t="str">
        <f>+C1.1!F5</f>
        <v>Cr</v>
      </c>
      <c r="G5" s="46">
        <f>+C1.1!G5</f>
        <v>2560</v>
      </c>
      <c r="H5" s="46">
        <f>+C1.1!H5</f>
        <v>2559</v>
      </c>
    </row>
    <row r="6" spans="1:10">
      <c r="A6" s="42"/>
      <c r="B6" s="42"/>
      <c r="C6" s="251"/>
      <c r="D6" s="42"/>
      <c r="E6" s="251"/>
      <c r="F6" s="42"/>
      <c r="G6" s="42"/>
      <c r="H6" s="80"/>
    </row>
    <row r="7" spans="1:10">
      <c r="A7" s="95" t="s">
        <v>139</v>
      </c>
      <c r="B7" s="82"/>
      <c r="C7" s="271"/>
      <c r="D7" s="100">
        <v>3575.86</v>
      </c>
      <c r="E7" s="85"/>
      <c r="F7" s="86"/>
      <c r="G7" s="270">
        <f t="shared" ref="G7" si="0">SUM(D7-E7+F7)</f>
        <v>3575.86</v>
      </c>
      <c r="H7" s="86"/>
    </row>
    <row r="8" spans="1:10">
      <c r="A8" s="95"/>
      <c r="B8" s="82"/>
      <c r="C8" s="96"/>
      <c r="D8" s="100"/>
      <c r="E8" s="85"/>
      <c r="F8" s="86"/>
      <c r="G8" s="270">
        <f>SUM(D8-E8+F8)</f>
        <v>0</v>
      </c>
      <c r="H8" s="100"/>
    </row>
    <row r="9" spans="1:10">
      <c r="A9" s="95"/>
      <c r="B9" s="82"/>
      <c r="C9" s="96"/>
      <c r="D9" s="100"/>
      <c r="E9" s="85"/>
      <c r="F9" s="86"/>
      <c r="G9" s="270">
        <f>SUM(D9-E9+F9)</f>
        <v>0</v>
      </c>
      <c r="H9" s="100"/>
    </row>
    <row r="10" spans="1:10" ht="18.75" customHeight="1">
      <c r="A10" s="85"/>
      <c r="B10" s="82"/>
      <c r="C10" s="83"/>
      <c r="D10" s="84"/>
      <c r="E10" s="85"/>
      <c r="F10" s="86"/>
      <c r="G10" s="99">
        <f>SUM(D10-E10+F10)</f>
        <v>0</v>
      </c>
      <c r="H10" s="84"/>
      <c r="I10" s="130"/>
      <c r="J10" s="41"/>
    </row>
    <row r="11" spans="1:10">
      <c r="A11" s="75"/>
      <c r="B11" s="75"/>
      <c r="C11" s="76"/>
      <c r="D11" s="91">
        <f>SUM(D7:D10)</f>
        <v>3575.86</v>
      </c>
      <c r="E11" s="91">
        <f>SUM(E7:E10)</f>
        <v>0</v>
      </c>
      <c r="F11" s="91">
        <f>SUM(F7:F10)</f>
        <v>0</v>
      </c>
      <c r="G11" s="91">
        <f>SUM(G7:G10)</f>
        <v>3575.86</v>
      </c>
      <c r="H11" s="91">
        <f>SUM(H7:H10)</f>
        <v>0</v>
      </c>
    </row>
  </sheetData>
  <mergeCells count="1">
    <mergeCell ref="E4:F4"/>
  </mergeCells>
  <pageMargins left="0.75" right="0.75" top="1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7030A0"/>
  </sheetPr>
  <dimension ref="A1:H20"/>
  <sheetViews>
    <sheetView zoomScale="120" workbookViewId="0">
      <selection activeCell="A74" sqref="A74"/>
    </sheetView>
  </sheetViews>
  <sheetFormatPr defaultColWidth="9.140625" defaultRowHeight="21"/>
  <cols>
    <col min="1" max="1" width="24.42578125" style="1" customWidth="1"/>
    <col min="2" max="2" width="8.85546875" style="1" customWidth="1"/>
    <col min="3" max="3" width="6.28515625" style="1" customWidth="1"/>
    <col min="4" max="4" width="11.85546875" style="1" customWidth="1"/>
    <col min="5" max="5" width="11.5703125" style="1" customWidth="1"/>
    <col min="6" max="6" width="11.42578125" style="1" customWidth="1"/>
    <col min="7" max="7" width="14" style="1" customWidth="1"/>
    <col min="8" max="8" width="11.5703125" style="1" customWidth="1"/>
    <col min="9" max="16384" width="9.140625" style="1"/>
  </cols>
  <sheetData>
    <row r="1" spans="1:8">
      <c r="A1" s="41" t="str">
        <f>+C1.1!A1</f>
        <v>ลูกค้า ห้างหุ้นส่วนจำกัด จรัญ อำภา ทรานสปอร์ต</v>
      </c>
      <c r="F1" s="1" t="s">
        <v>7</v>
      </c>
      <c r="H1" s="71" t="s">
        <v>14</v>
      </c>
    </row>
    <row r="2" spans="1:8">
      <c r="A2" s="1" t="s">
        <v>55</v>
      </c>
      <c r="F2" s="72" t="s">
        <v>8</v>
      </c>
      <c r="G2" s="73" t="s">
        <v>9</v>
      </c>
    </row>
    <row r="3" spans="1:8">
      <c r="A3" s="1" t="str">
        <f>+C1.1!A3</f>
        <v>ณ 31 ธันวาคม 2559</v>
      </c>
      <c r="F3" s="72" t="s">
        <v>10</v>
      </c>
      <c r="G3" s="73" t="s">
        <v>9</v>
      </c>
    </row>
    <row r="4" spans="1:8">
      <c r="A4" s="45" t="s">
        <v>0</v>
      </c>
      <c r="B4" s="45" t="s">
        <v>18</v>
      </c>
      <c r="C4" s="74" t="s">
        <v>1</v>
      </c>
      <c r="D4" s="45" t="s">
        <v>2</v>
      </c>
      <c r="E4" s="501" t="s">
        <v>3</v>
      </c>
      <c r="F4" s="503"/>
      <c r="G4" s="45" t="s">
        <v>4</v>
      </c>
      <c r="H4" s="45" t="s">
        <v>48</v>
      </c>
    </row>
    <row r="5" spans="1:8">
      <c r="A5" s="75"/>
      <c r="B5" s="75"/>
      <c r="C5" s="76"/>
      <c r="D5" s="46">
        <f>+C1.1!D5</f>
        <v>2560</v>
      </c>
      <c r="E5" s="46" t="str">
        <f>+C1.1!E5</f>
        <v>Dr</v>
      </c>
      <c r="F5" s="46" t="str">
        <f>+C1.1!F5</f>
        <v>Cr</v>
      </c>
      <c r="G5" s="46">
        <f>+C1.1!G5</f>
        <v>2560</v>
      </c>
      <c r="H5" s="46">
        <f>+C1.1!H5</f>
        <v>2559</v>
      </c>
    </row>
    <row r="6" spans="1:8">
      <c r="A6" s="78"/>
      <c r="B6" s="78"/>
      <c r="C6" s="79"/>
      <c r="D6" s="78"/>
      <c r="E6" s="79"/>
      <c r="F6" s="78"/>
      <c r="G6" s="78"/>
      <c r="H6" s="80"/>
    </row>
    <row r="7" spans="1:8">
      <c r="A7" s="95" t="s">
        <v>45</v>
      </c>
      <c r="B7" s="82"/>
      <c r="C7" s="83"/>
      <c r="D7" s="84"/>
      <c r="E7" s="85"/>
      <c r="F7" s="86"/>
      <c r="G7" s="99">
        <f>+D7-E7+F7</f>
        <v>0</v>
      </c>
      <c r="H7" s="84"/>
    </row>
    <row r="8" spans="1:8">
      <c r="A8" s="95"/>
      <c r="B8" s="82"/>
      <c r="C8" s="83"/>
      <c r="D8" s="84"/>
      <c r="E8" s="85"/>
      <c r="F8" s="86"/>
      <c r="G8" s="99"/>
      <c r="H8" s="84"/>
    </row>
    <row r="9" spans="1:8">
      <c r="A9" s="95"/>
      <c r="B9" s="82"/>
      <c r="C9" s="83"/>
      <c r="D9" s="84"/>
      <c r="E9" s="85"/>
      <c r="F9" s="86"/>
      <c r="G9" s="99"/>
      <c r="H9" s="84"/>
    </row>
    <row r="10" spans="1:8">
      <c r="A10" s="41"/>
      <c r="B10" s="179"/>
      <c r="C10" s="180"/>
      <c r="D10" s="175"/>
      <c r="E10" s="97"/>
      <c r="F10" s="181"/>
      <c r="G10" s="99"/>
      <c r="H10" s="175"/>
    </row>
    <row r="11" spans="1:8">
      <c r="A11" s="95"/>
      <c r="B11" s="82"/>
      <c r="C11" s="271"/>
      <c r="D11" s="100"/>
      <c r="E11" s="85"/>
      <c r="F11" s="86"/>
      <c r="G11" s="99"/>
      <c r="H11" s="100"/>
    </row>
    <row r="12" spans="1:8">
      <c r="A12" s="95"/>
      <c r="B12" s="82"/>
      <c r="C12" s="271"/>
      <c r="D12" s="100"/>
      <c r="E12" s="85"/>
      <c r="F12" s="86"/>
      <c r="G12" s="99"/>
      <c r="H12" s="100"/>
    </row>
    <row r="13" spans="1:8">
      <c r="A13" s="95"/>
      <c r="B13" s="82"/>
      <c r="C13" s="271"/>
      <c r="D13" s="100"/>
      <c r="E13" s="85"/>
      <c r="F13" s="86"/>
      <c r="G13" s="99"/>
      <c r="H13" s="100"/>
    </row>
    <row r="14" spans="1:8">
      <c r="A14" s="95"/>
      <c r="B14" s="82"/>
      <c r="C14" s="271"/>
      <c r="D14" s="100"/>
      <c r="E14" s="85"/>
      <c r="F14" s="86"/>
      <c r="G14" s="99"/>
      <c r="H14" s="100"/>
    </row>
    <row r="15" spans="1:8">
      <c r="A15" s="95"/>
      <c r="B15" s="82"/>
      <c r="C15" s="271"/>
      <c r="D15" s="100"/>
      <c r="E15" s="85"/>
      <c r="F15" s="86"/>
      <c r="G15" s="99"/>
      <c r="H15" s="100"/>
    </row>
    <row r="16" spans="1:8">
      <c r="A16" s="273"/>
      <c r="B16" s="274"/>
      <c r="C16" s="275"/>
      <c r="D16" s="276"/>
      <c r="E16" s="97"/>
      <c r="F16" s="181"/>
      <c r="G16" s="47"/>
      <c r="H16" s="175"/>
    </row>
    <row r="17" spans="1:8">
      <c r="A17" s="75"/>
      <c r="B17" s="75"/>
      <c r="C17" s="76"/>
      <c r="D17" s="272">
        <f>SUM(D7:D15)</f>
        <v>0</v>
      </c>
      <c r="E17" s="91">
        <f>SUM(E7:E9)</f>
        <v>0</v>
      </c>
      <c r="F17" s="91">
        <f>SUM(F7:F9)</f>
        <v>0</v>
      </c>
      <c r="G17" s="91">
        <f>SUM(G7:G15)</f>
        <v>0</v>
      </c>
      <c r="H17" s="91">
        <f>SUM(H7:H16)</f>
        <v>0</v>
      </c>
    </row>
    <row r="19" spans="1:8">
      <c r="D19" s="264"/>
      <c r="H19" s="129"/>
    </row>
    <row r="20" spans="1:8">
      <c r="D20" s="264"/>
      <c r="H20" s="129"/>
    </row>
  </sheetData>
  <mergeCells count="1">
    <mergeCell ref="E4:F4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C000"/>
  </sheetPr>
  <dimension ref="A1:L28"/>
  <sheetViews>
    <sheetView workbookViewId="0">
      <selection activeCell="A74" sqref="A74"/>
    </sheetView>
  </sheetViews>
  <sheetFormatPr defaultColWidth="9.140625" defaultRowHeight="21"/>
  <cols>
    <col min="1" max="1" width="33.42578125" style="191" customWidth="1"/>
    <col min="2" max="2" width="8.85546875" style="191" customWidth="1"/>
    <col min="3" max="3" width="6.28515625" style="191" customWidth="1"/>
    <col min="4" max="4" width="11.85546875" style="191" customWidth="1"/>
    <col min="5" max="5" width="11.5703125" style="191" customWidth="1"/>
    <col min="6" max="6" width="12" style="191" bestFit="1" customWidth="1"/>
    <col min="7" max="7" width="14" style="191" customWidth="1"/>
    <col min="8" max="8" width="12" style="191" bestFit="1" customWidth="1"/>
    <col min="9" max="9" width="3.7109375" style="191" customWidth="1"/>
    <col min="10" max="10" width="12" style="193" bestFit="1" customWidth="1"/>
    <col min="11" max="11" width="1.28515625" style="191" customWidth="1"/>
    <col min="12" max="12" width="12" style="191" bestFit="1" customWidth="1"/>
    <col min="13" max="16384" width="9.140625" style="191"/>
  </cols>
  <sheetData>
    <row r="1" spans="1:12">
      <c r="A1" s="190" t="str">
        <f>+[1]C1!A1</f>
        <v>ลูกค้า ห้างหุ้นส่วนจำกัด วิทย์เบญจา</v>
      </c>
      <c r="F1" s="191" t="s">
        <v>7</v>
      </c>
      <c r="H1" s="192" t="s">
        <v>107</v>
      </c>
    </row>
    <row r="2" spans="1:12">
      <c r="A2" s="191" t="s">
        <v>108</v>
      </c>
      <c r="F2" s="194" t="s">
        <v>8</v>
      </c>
      <c r="G2" s="195" t="s">
        <v>9</v>
      </c>
    </row>
    <row r="3" spans="1:12">
      <c r="A3" s="191" t="str">
        <f>+[1]C1!A3</f>
        <v>ณ 31 ธันวาคม 2553</v>
      </c>
      <c r="F3" s="194" t="s">
        <v>10</v>
      </c>
      <c r="G3" s="195" t="s">
        <v>9</v>
      </c>
    </row>
    <row r="4" spans="1:12">
      <c r="A4" s="196" t="s">
        <v>0</v>
      </c>
      <c r="B4" s="196" t="s">
        <v>18</v>
      </c>
      <c r="C4" s="197" t="s">
        <v>1</v>
      </c>
      <c r="D4" s="196" t="s">
        <v>2</v>
      </c>
      <c r="E4" s="522" t="s">
        <v>3</v>
      </c>
      <c r="F4" s="523"/>
      <c r="G4" s="196" t="s">
        <v>4</v>
      </c>
      <c r="H4" s="196" t="s">
        <v>48</v>
      </c>
    </row>
    <row r="5" spans="1:12">
      <c r="A5" s="198"/>
      <c r="B5" s="198"/>
      <c r="C5" s="199"/>
      <c r="D5" s="200">
        <f>+[1]C1!D5</f>
        <v>2553</v>
      </c>
      <c r="E5" s="201" t="s">
        <v>5</v>
      </c>
      <c r="F5" s="200" t="s">
        <v>6</v>
      </c>
      <c r="G5" s="200">
        <f>D5</f>
        <v>2553</v>
      </c>
      <c r="H5" s="200">
        <f>+[1]C1!H5</f>
        <v>2552</v>
      </c>
    </row>
    <row r="6" spans="1:12">
      <c r="A6" s="202"/>
      <c r="B6" s="202"/>
      <c r="C6" s="203"/>
      <c r="D6" s="202"/>
      <c r="E6" s="203"/>
      <c r="F6" s="202"/>
      <c r="G6" s="202"/>
      <c r="H6" s="204"/>
    </row>
    <row r="7" spans="1:12">
      <c r="A7" s="205" t="s">
        <v>109</v>
      </c>
      <c r="B7" s="206"/>
      <c r="C7" s="207"/>
      <c r="D7" s="376">
        <f>240176+446292.08+1952466.88</f>
        <v>2638934.96</v>
      </c>
      <c r="E7" s="377">
        <f>102924+243432+442068</f>
        <v>788424</v>
      </c>
      <c r="F7" s="378"/>
      <c r="G7" s="376">
        <f>+D7-E7+F7</f>
        <v>1850510.96</v>
      </c>
      <c r="H7" s="204">
        <v>686488.08</v>
      </c>
      <c r="J7" s="193">
        <f>+G7+G13</f>
        <v>2638934.96</v>
      </c>
      <c r="L7" s="193">
        <f>+H7+H13</f>
        <v>1032824.08</v>
      </c>
    </row>
    <row r="8" spans="1:12">
      <c r="A8" s="205" t="s">
        <v>110</v>
      </c>
      <c r="B8" s="206"/>
      <c r="C8" s="207"/>
      <c r="D8" s="379">
        <v>431814.7</v>
      </c>
      <c r="E8" s="378">
        <f>117753.83+40923.06+21763.91</f>
        <v>180440.80000000002</v>
      </c>
      <c r="F8" s="378"/>
      <c r="G8" s="376">
        <f>+D8-E8+F8</f>
        <v>251373.9</v>
      </c>
      <c r="H8" s="99">
        <v>124452.85</v>
      </c>
      <c r="J8" s="193">
        <f>+G8+G14</f>
        <v>431814.7</v>
      </c>
      <c r="L8" s="193">
        <f>+H8+H15</f>
        <v>124452.85</v>
      </c>
    </row>
    <row r="9" spans="1:12">
      <c r="A9" s="205" t="s">
        <v>113</v>
      </c>
      <c r="B9" s="206"/>
      <c r="C9" s="207"/>
      <c r="D9" s="380"/>
      <c r="E9" s="381"/>
      <c r="F9" s="382"/>
      <c r="G9" s="376">
        <f>+D9-E9+F9</f>
        <v>0</v>
      </c>
      <c r="H9" s="228"/>
      <c r="J9" s="193">
        <f>+G9+G15</f>
        <v>0</v>
      </c>
      <c r="L9" s="193"/>
    </row>
    <row r="10" spans="1:12">
      <c r="A10" s="209" t="s">
        <v>111</v>
      </c>
      <c r="B10" s="210"/>
      <c r="C10" s="211"/>
      <c r="D10" s="212">
        <f>+D7-D8-D9</f>
        <v>2207120.2599999998</v>
      </c>
      <c r="E10" s="212">
        <f>+E7-E8-E9</f>
        <v>607983.19999999995</v>
      </c>
      <c r="F10" s="212">
        <f>+F7-F8-F9</f>
        <v>0</v>
      </c>
      <c r="G10" s="212">
        <f>+G7-G8-G9</f>
        <v>1599137.06</v>
      </c>
      <c r="H10" s="212">
        <f>+H7-H8-H9</f>
        <v>562035.23</v>
      </c>
      <c r="J10" s="193">
        <f>+J7-J8-J9</f>
        <v>2207120.2599999998</v>
      </c>
      <c r="L10" s="213">
        <f>+L7-L8</f>
        <v>908371.23</v>
      </c>
    </row>
    <row r="11" spans="1:12">
      <c r="A11" s="209"/>
      <c r="B11" s="210"/>
      <c r="C11" s="211"/>
      <c r="D11" s="214"/>
      <c r="E11" s="215"/>
      <c r="F11" s="214"/>
      <c r="G11" s="214"/>
      <c r="H11" s="214"/>
    </row>
    <row r="12" spans="1:12" s="207" customFormat="1">
      <c r="A12" s="209" t="s">
        <v>112</v>
      </c>
      <c r="B12" s="206"/>
      <c r="D12" s="208"/>
      <c r="E12" s="216"/>
      <c r="F12" s="208"/>
      <c r="G12" s="208"/>
      <c r="H12" s="208"/>
      <c r="J12" s="216"/>
    </row>
    <row r="13" spans="1:12" s="218" customFormat="1">
      <c r="A13" s="205" t="s">
        <v>109</v>
      </c>
      <c r="B13" s="217"/>
      <c r="D13" s="204"/>
      <c r="E13" s="219"/>
      <c r="F13" s="204">
        <f>E7</f>
        <v>788424</v>
      </c>
      <c r="G13" s="208">
        <f>+D13-E13+F13</f>
        <v>788424</v>
      </c>
      <c r="H13" s="204">
        <v>346336</v>
      </c>
      <c r="J13" s="219">
        <v>9971496.0700000003</v>
      </c>
      <c r="L13" s="488">
        <f>+H13+H7</f>
        <v>1032824.08</v>
      </c>
    </row>
    <row r="14" spans="1:12" s="221" customFormat="1">
      <c r="A14" s="205" t="s">
        <v>110</v>
      </c>
      <c r="B14" s="220"/>
      <c r="D14" s="222"/>
      <c r="E14" s="223"/>
      <c r="F14" s="204">
        <f>E8</f>
        <v>180440.80000000002</v>
      </c>
      <c r="G14" s="208">
        <f>+D14-E14+F14</f>
        <v>180440.80000000002</v>
      </c>
      <c r="H14" s="222">
        <v>88154.559999999998</v>
      </c>
      <c r="J14" s="223">
        <v>800441.93</v>
      </c>
      <c r="L14" s="489">
        <f>+H14+H8</f>
        <v>212607.41</v>
      </c>
    </row>
    <row r="15" spans="1:12" s="221" customFormat="1">
      <c r="A15" s="205" t="s">
        <v>113</v>
      </c>
      <c r="B15" s="220"/>
      <c r="D15" s="222"/>
      <c r="E15" s="223"/>
      <c r="F15" s="204">
        <f t="shared" ref="F15" si="0">E9</f>
        <v>0</v>
      </c>
      <c r="G15" s="208">
        <f>+D15-E15+F15</f>
        <v>0</v>
      </c>
      <c r="H15" s="222"/>
      <c r="J15" s="223">
        <f>+E9+F15</f>
        <v>0</v>
      </c>
    </row>
    <row r="16" spans="1:12" s="221" customFormat="1">
      <c r="A16" s="224"/>
      <c r="B16" s="220"/>
      <c r="D16" s="212">
        <f>+D13-D14-D15</f>
        <v>0</v>
      </c>
      <c r="E16" s="212">
        <f>SUM(E13:E15)</f>
        <v>0</v>
      </c>
      <c r="F16" s="212">
        <f>+F13-F14-F15</f>
        <v>607983.19999999995</v>
      </c>
      <c r="G16" s="212">
        <f>+G13-G14-G15</f>
        <v>607983.19999999995</v>
      </c>
      <c r="H16" s="212">
        <f>+H13-H14-H15</f>
        <v>258181.44</v>
      </c>
      <c r="J16" s="223"/>
    </row>
    <row r="17" spans="1:12" s="221" customFormat="1">
      <c r="A17" s="225" t="s">
        <v>42</v>
      </c>
      <c r="B17" s="226"/>
      <c r="C17" s="227"/>
      <c r="D17" s="228">
        <f>+D10+D16</f>
        <v>2207120.2599999998</v>
      </c>
      <c r="E17" s="228">
        <f>+E10+E16</f>
        <v>607983.19999999995</v>
      </c>
      <c r="F17" s="228">
        <f>+F10+F16</f>
        <v>607983.19999999995</v>
      </c>
      <c r="G17" s="228">
        <f>+G10+G16</f>
        <v>2207120.2599999998</v>
      </c>
      <c r="H17" s="228">
        <f>+H10+H16</f>
        <v>820216.66999999993</v>
      </c>
      <c r="J17" s="223"/>
    </row>
    <row r="18" spans="1:12">
      <c r="C18" s="191">
        <v>52</v>
      </c>
    </row>
    <row r="19" spans="1:12">
      <c r="C19" s="191">
        <v>1</v>
      </c>
      <c r="D19" s="193">
        <v>16773</v>
      </c>
      <c r="E19" s="191">
        <v>14</v>
      </c>
      <c r="F19" s="229">
        <f>D19*E19</f>
        <v>234822</v>
      </c>
      <c r="G19" s="230"/>
      <c r="H19" s="193"/>
      <c r="L19" s="231"/>
    </row>
    <row r="20" spans="1:12">
      <c r="D20" s="193">
        <v>1925.7</v>
      </c>
      <c r="E20" s="191">
        <v>14</v>
      </c>
      <c r="F20" s="229">
        <f>D20*E20</f>
        <v>26959.8</v>
      </c>
      <c r="G20" s="230"/>
      <c r="H20" s="193"/>
      <c r="L20" s="231"/>
    </row>
    <row r="21" spans="1:12">
      <c r="D21" s="193">
        <v>1097.3</v>
      </c>
      <c r="E21" s="191">
        <v>14</v>
      </c>
      <c r="F21" s="229">
        <f>D21*E21</f>
        <v>15362.199999999999</v>
      </c>
      <c r="G21" s="232"/>
      <c r="H21" s="193"/>
      <c r="L21" s="231"/>
    </row>
    <row r="22" spans="1:12" ht="21.75" thickBot="1">
      <c r="D22" s="193"/>
      <c r="F22" s="233">
        <f>+F19-F20-F21</f>
        <v>192500</v>
      </c>
      <c r="G22" s="232"/>
      <c r="J22" s="235"/>
    </row>
    <row r="23" spans="1:12" ht="21.75" thickTop="1">
      <c r="F23" s="232"/>
      <c r="G23" s="232"/>
    </row>
    <row r="24" spans="1:12">
      <c r="D24" s="193">
        <v>16773</v>
      </c>
      <c r="E24" s="191">
        <v>12</v>
      </c>
      <c r="F24" s="193">
        <f>+D24*E24</f>
        <v>201276</v>
      </c>
    </row>
    <row r="25" spans="1:12">
      <c r="D25" s="193">
        <v>1925.7</v>
      </c>
      <c r="E25" s="191">
        <v>12</v>
      </c>
      <c r="F25" s="193">
        <f>+D25*E25</f>
        <v>23108.400000000001</v>
      </c>
    </row>
    <row r="26" spans="1:12">
      <c r="D26" s="193">
        <v>1097.3</v>
      </c>
      <c r="E26" s="191">
        <v>12</v>
      </c>
      <c r="F26" s="193">
        <f>+D26*E26</f>
        <v>13167.599999999999</v>
      </c>
    </row>
    <row r="27" spans="1:12" ht="21.75" thickBot="1">
      <c r="F27" s="234">
        <f>+F24-F25-F26</f>
        <v>165000</v>
      </c>
    </row>
    <row r="28" spans="1:12" ht="21.75" thickTop="1"/>
  </sheetData>
  <mergeCells count="1">
    <mergeCell ref="E4:F4"/>
  </mergeCells>
  <pageMargins left="0.19685039370078741" right="0.19685039370078741" top="0.98425196850393704" bottom="0.98425196850393704" header="0.51181102362204722" footer="0.51181102362204722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C000"/>
  </sheetPr>
  <dimension ref="A1:J8"/>
  <sheetViews>
    <sheetView zoomScale="120" workbookViewId="0">
      <selection activeCell="A74" sqref="A74"/>
    </sheetView>
  </sheetViews>
  <sheetFormatPr defaultColWidth="9.140625" defaultRowHeight="21"/>
  <cols>
    <col min="1" max="1" width="24.42578125" style="1" customWidth="1"/>
    <col min="2" max="2" width="8.85546875" style="1" customWidth="1"/>
    <col min="3" max="3" width="6.28515625" style="1" customWidth="1"/>
    <col min="4" max="4" width="11.85546875" style="1" customWidth="1"/>
    <col min="5" max="5" width="11.5703125" style="1" customWidth="1"/>
    <col min="6" max="6" width="11.42578125" style="1" customWidth="1"/>
    <col min="7" max="7" width="14" style="1" customWidth="1"/>
    <col min="8" max="8" width="11.5703125" style="1" customWidth="1"/>
    <col min="9" max="16384" width="9.140625" style="1"/>
  </cols>
  <sheetData>
    <row r="1" spans="1:10">
      <c r="A1" s="41" t="str">
        <f>+C1.1!A1</f>
        <v>ลูกค้า ห้างหุ้นส่วนจำกัด จรัญ อำภา ทรานสปอร์ต</v>
      </c>
      <c r="F1" s="1" t="s">
        <v>7</v>
      </c>
      <c r="H1" s="71" t="s">
        <v>14</v>
      </c>
    </row>
    <row r="2" spans="1:10">
      <c r="A2" s="1" t="s">
        <v>118</v>
      </c>
      <c r="F2" s="72" t="s">
        <v>8</v>
      </c>
      <c r="G2" s="73" t="s">
        <v>9</v>
      </c>
    </row>
    <row r="3" spans="1:10">
      <c r="A3" s="1" t="str">
        <f>+C1.1!A3</f>
        <v>ณ 31 ธันวาคม 2559</v>
      </c>
      <c r="F3" s="72" t="s">
        <v>10</v>
      </c>
      <c r="G3" s="73" t="s">
        <v>9</v>
      </c>
    </row>
    <row r="4" spans="1:10">
      <c r="A4" s="45" t="s">
        <v>0</v>
      </c>
      <c r="B4" s="45" t="s">
        <v>18</v>
      </c>
      <c r="C4" s="74" t="s">
        <v>1</v>
      </c>
      <c r="D4" s="45" t="s">
        <v>2</v>
      </c>
      <c r="E4" s="501" t="s">
        <v>3</v>
      </c>
      <c r="F4" s="503"/>
      <c r="G4" s="45" t="s">
        <v>4</v>
      </c>
      <c r="H4" s="45" t="s">
        <v>48</v>
      </c>
    </row>
    <row r="5" spans="1:10">
      <c r="A5" s="75"/>
      <c r="B5" s="75"/>
      <c r="C5" s="76"/>
      <c r="D5" s="46">
        <f>+C1.1!D5</f>
        <v>2560</v>
      </c>
      <c r="E5" s="46" t="str">
        <f>+C1.1!E5</f>
        <v>Dr</v>
      </c>
      <c r="F5" s="46" t="str">
        <f>+C1.1!F5</f>
        <v>Cr</v>
      </c>
      <c r="G5" s="46">
        <f>+C1.1!G5</f>
        <v>2560</v>
      </c>
      <c r="H5" s="46">
        <f>+C1.1!H5</f>
        <v>2559</v>
      </c>
    </row>
    <row r="6" spans="1:10">
      <c r="A6" s="78"/>
      <c r="B6" s="78"/>
      <c r="C6" s="79"/>
      <c r="D6" s="78"/>
      <c r="E6" s="79"/>
      <c r="F6" s="78"/>
      <c r="G6" s="78"/>
      <c r="H6" s="80"/>
    </row>
    <row r="7" spans="1:10" ht="18.75" customHeight="1">
      <c r="A7" s="85" t="s">
        <v>117</v>
      </c>
      <c r="B7" s="82"/>
      <c r="C7" s="83"/>
      <c r="D7" s="84">
        <v>0</v>
      </c>
      <c r="E7" s="85"/>
      <c r="F7" s="86"/>
      <c r="G7" s="99">
        <f>SUM(D7-E7+F7)</f>
        <v>0</v>
      </c>
      <c r="H7" s="84">
        <v>0</v>
      </c>
      <c r="I7" s="130"/>
      <c r="J7" s="41"/>
    </row>
    <row r="8" spans="1:10">
      <c r="A8" s="75"/>
      <c r="B8" s="75"/>
      <c r="C8" s="76"/>
      <c r="D8" s="91">
        <f>SUM(D7:D7)</f>
        <v>0</v>
      </c>
      <c r="E8" s="91">
        <f>SUM(E7:E7)</f>
        <v>0</v>
      </c>
      <c r="F8" s="91">
        <f>SUM(F7:F7)</f>
        <v>0</v>
      </c>
      <c r="G8" s="91">
        <f>SUM(G7:G7)</f>
        <v>0</v>
      </c>
      <c r="H8" s="91">
        <f>SUM(H7:H7)</f>
        <v>0</v>
      </c>
    </row>
  </sheetData>
  <mergeCells count="1">
    <mergeCell ref="E4:F4"/>
  </mergeCell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C000"/>
  </sheetPr>
  <dimension ref="A1:J11"/>
  <sheetViews>
    <sheetView zoomScale="120" workbookViewId="0">
      <selection activeCell="A74" sqref="A74"/>
    </sheetView>
  </sheetViews>
  <sheetFormatPr defaultColWidth="9.140625" defaultRowHeight="21"/>
  <cols>
    <col min="1" max="1" width="24.42578125" style="1" customWidth="1"/>
    <col min="2" max="2" width="8.85546875" style="1" customWidth="1"/>
    <col min="3" max="3" width="6.28515625" style="1" customWidth="1"/>
    <col min="4" max="4" width="11.85546875" style="1" customWidth="1"/>
    <col min="5" max="5" width="11.5703125" style="1" customWidth="1"/>
    <col min="6" max="6" width="11.42578125" style="1" customWidth="1"/>
    <col min="7" max="7" width="14" style="1" customWidth="1"/>
    <col min="8" max="8" width="11.5703125" style="1" customWidth="1"/>
    <col min="9" max="16384" width="9.140625" style="1"/>
  </cols>
  <sheetData>
    <row r="1" spans="1:10">
      <c r="A1" s="41" t="str">
        <f>+C1.1!A1</f>
        <v>ลูกค้า ห้างหุ้นส่วนจำกัด จรัญ อำภา ทรานสปอร์ต</v>
      </c>
      <c r="F1" s="1" t="s">
        <v>7</v>
      </c>
      <c r="H1" s="71" t="s">
        <v>14</v>
      </c>
    </row>
    <row r="2" spans="1:10">
      <c r="A2" s="1" t="s">
        <v>129</v>
      </c>
      <c r="F2" s="72" t="s">
        <v>8</v>
      </c>
      <c r="G2" s="73" t="s">
        <v>9</v>
      </c>
    </row>
    <row r="3" spans="1:10">
      <c r="A3" s="1" t="str">
        <f>+C1.1!A3</f>
        <v>ณ 31 ธันวาคม 2559</v>
      </c>
      <c r="F3" s="72" t="s">
        <v>10</v>
      </c>
      <c r="G3" s="73" t="s">
        <v>9</v>
      </c>
    </row>
    <row r="4" spans="1:10">
      <c r="A4" s="45" t="s">
        <v>0</v>
      </c>
      <c r="B4" s="45" t="s">
        <v>18</v>
      </c>
      <c r="C4" s="74" t="s">
        <v>1</v>
      </c>
      <c r="D4" s="45" t="s">
        <v>2</v>
      </c>
      <c r="E4" s="501" t="s">
        <v>3</v>
      </c>
      <c r="F4" s="503"/>
      <c r="G4" s="45" t="s">
        <v>4</v>
      </c>
      <c r="H4" s="45" t="s">
        <v>48</v>
      </c>
    </row>
    <row r="5" spans="1:10">
      <c r="A5" s="80"/>
      <c r="B5" s="80"/>
      <c r="C5" s="41"/>
      <c r="D5" s="325">
        <f>+C1.1!D5</f>
        <v>2560</v>
      </c>
      <c r="E5" s="325" t="str">
        <f>+C1.1!E5</f>
        <v>Dr</v>
      </c>
      <c r="F5" s="325" t="str">
        <f>+C1.1!F5</f>
        <v>Cr</v>
      </c>
      <c r="G5" s="325">
        <f>+C1.1!G5</f>
        <v>2560</v>
      </c>
      <c r="H5" s="325">
        <f>+C1.1!H5</f>
        <v>2559</v>
      </c>
    </row>
    <row r="6" spans="1:10">
      <c r="A6" s="78"/>
      <c r="B6" s="78"/>
      <c r="C6" s="79"/>
      <c r="D6" s="78"/>
      <c r="E6" s="79"/>
      <c r="F6" s="78"/>
      <c r="G6" s="78"/>
      <c r="H6" s="78"/>
    </row>
    <row r="7" spans="1:10" ht="20.85" customHeight="1">
      <c r="A7" s="95" t="s">
        <v>185</v>
      </c>
      <c r="B7" s="81"/>
      <c r="C7" s="95"/>
      <c r="D7" s="270"/>
      <c r="E7" s="85"/>
      <c r="F7" s="86"/>
      <c r="G7" s="394">
        <f t="shared" ref="G7:G8" si="0">SUM(D7-E7+F7)</f>
        <v>0</v>
      </c>
      <c r="H7" s="395"/>
      <c r="I7" s="393"/>
      <c r="J7" s="41"/>
    </row>
    <row r="8" spans="1:10" ht="20.85" customHeight="1">
      <c r="A8" s="95" t="s">
        <v>214</v>
      </c>
      <c r="B8" s="81"/>
      <c r="C8" s="95"/>
      <c r="D8" s="270"/>
      <c r="E8" s="85"/>
      <c r="F8" s="86"/>
      <c r="G8" s="394">
        <f t="shared" si="0"/>
        <v>0</v>
      </c>
      <c r="H8" s="395"/>
      <c r="I8" s="393"/>
      <c r="J8" s="41"/>
    </row>
    <row r="9" spans="1:10" ht="20.85" customHeight="1">
      <c r="A9" s="85" t="s">
        <v>130</v>
      </c>
      <c r="B9" s="82"/>
      <c r="C9" s="96"/>
      <c r="D9" s="395"/>
      <c r="E9" s="85"/>
      <c r="F9" s="86"/>
      <c r="G9" s="394">
        <f>SUM(D9-E9+F9)</f>
        <v>0</v>
      </c>
      <c r="H9" s="395"/>
      <c r="I9" s="130"/>
      <c r="J9" s="41"/>
    </row>
    <row r="10" spans="1:10" ht="18.75" customHeight="1">
      <c r="A10" s="97"/>
      <c r="B10" s="179"/>
      <c r="C10" s="180"/>
      <c r="D10" s="391"/>
      <c r="E10" s="97"/>
      <c r="F10" s="181"/>
      <c r="G10" s="392"/>
      <c r="H10" s="391"/>
      <c r="I10" s="393"/>
      <c r="J10" s="41"/>
    </row>
    <row r="11" spans="1:10">
      <c r="A11" s="75"/>
      <c r="B11" s="75"/>
      <c r="C11" s="76"/>
      <c r="D11" s="124">
        <f>SUM(D7:D10)</f>
        <v>0</v>
      </c>
      <c r="E11" s="91">
        <f>SUM(E9:E9)</f>
        <v>0</v>
      </c>
      <c r="F11" s="91">
        <f>SUM(F9:F9)</f>
        <v>0</v>
      </c>
      <c r="G11" s="124">
        <f>SUM(G7:G10)</f>
        <v>0</v>
      </c>
      <c r="H11" s="91">
        <f>SUM(H7:H10)</f>
        <v>0</v>
      </c>
    </row>
  </sheetData>
  <mergeCells count="1">
    <mergeCell ref="E4:F4"/>
  </mergeCells>
  <pageMargins left="0.75" right="0.75" top="1" bottom="1" header="0.5" footer="0.5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H15"/>
  <sheetViews>
    <sheetView topLeftCell="A4" zoomScale="120" workbookViewId="0">
      <selection activeCell="A74" sqref="A74"/>
    </sheetView>
  </sheetViews>
  <sheetFormatPr defaultColWidth="9.140625" defaultRowHeight="21"/>
  <cols>
    <col min="1" max="1" width="22" style="1" customWidth="1"/>
    <col min="2" max="2" width="11" style="1" bestFit="1" customWidth="1"/>
    <col min="3" max="3" width="6.28515625" style="1" customWidth="1"/>
    <col min="4" max="4" width="12.7109375" style="1" customWidth="1"/>
    <col min="5" max="5" width="11.5703125" style="1" customWidth="1"/>
    <col min="6" max="6" width="11.42578125" style="1" customWidth="1"/>
    <col min="7" max="7" width="14" style="1" customWidth="1"/>
    <col min="8" max="8" width="12.85546875" style="1" customWidth="1"/>
    <col min="9" max="16384" width="9.140625" style="1"/>
  </cols>
  <sheetData>
    <row r="1" spans="1:8">
      <c r="A1" s="41" t="str">
        <f>+C1.1!A1</f>
        <v>ลูกค้า ห้างหุ้นส่วนจำกัด จรัญ อำภา ทรานสปอร์ต</v>
      </c>
      <c r="F1" s="1" t="s">
        <v>7</v>
      </c>
      <c r="H1" s="71" t="s">
        <v>30</v>
      </c>
    </row>
    <row r="2" spans="1:8">
      <c r="A2" s="1" t="s">
        <v>49</v>
      </c>
      <c r="F2" s="72" t="s">
        <v>8</v>
      </c>
      <c r="G2" s="73" t="s">
        <v>9</v>
      </c>
    </row>
    <row r="3" spans="1:8">
      <c r="A3" s="1" t="str">
        <f>+C1.1!A3</f>
        <v>ณ 31 ธันวาคม 2559</v>
      </c>
      <c r="F3" s="72" t="s">
        <v>10</v>
      </c>
      <c r="G3" s="73" t="s">
        <v>9</v>
      </c>
    </row>
    <row r="4" spans="1:8">
      <c r="A4" s="45" t="s">
        <v>0</v>
      </c>
      <c r="B4" s="45" t="s">
        <v>18</v>
      </c>
      <c r="C4" s="74" t="s">
        <v>1</v>
      </c>
      <c r="D4" s="45" t="s">
        <v>2</v>
      </c>
      <c r="E4" s="501" t="s">
        <v>3</v>
      </c>
      <c r="F4" s="503"/>
      <c r="G4" s="45" t="s">
        <v>4</v>
      </c>
      <c r="H4" s="45" t="s">
        <v>48</v>
      </c>
    </row>
    <row r="5" spans="1:8">
      <c r="A5" s="75"/>
      <c r="B5" s="75"/>
      <c r="C5" s="76"/>
      <c r="D5" s="46">
        <f>+C1.1!D5</f>
        <v>2560</v>
      </c>
      <c r="E5" s="46" t="str">
        <f>+C1.1!E5</f>
        <v>Dr</v>
      </c>
      <c r="F5" s="46" t="str">
        <f>+C1.1!F5</f>
        <v>Cr</v>
      </c>
      <c r="G5" s="46">
        <f>+C1.1!G5</f>
        <v>2560</v>
      </c>
      <c r="H5" s="46">
        <f>+C1.1!H5</f>
        <v>2559</v>
      </c>
    </row>
    <row r="6" spans="1:8">
      <c r="A6" s="78"/>
      <c r="B6" s="78"/>
      <c r="C6" s="79"/>
      <c r="D6" s="78"/>
      <c r="E6" s="79"/>
      <c r="F6" s="78"/>
      <c r="G6" s="78"/>
      <c r="H6" s="80"/>
    </row>
    <row r="7" spans="1:8">
      <c r="A7" s="81" t="s">
        <v>231</v>
      </c>
      <c r="B7" s="98"/>
      <c r="C7" s="373"/>
      <c r="D7" s="374">
        <v>500000</v>
      </c>
      <c r="E7" s="95"/>
      <c r="F7" s="374"/>
      <c r="G7" s="86">
        <f>SUM(D7-E7+F7)</f>
        <v>500000</v>
      </c>
      <c r="H7" s="374">
        <v>500000</v>
      </c>
    </row>
    <row r="8" spans="1:8" hidden="1">
      <c r="A8" s="81"/>
      <c r="B8" s="98"/>
      <c r="C8" s="373"/>
      <c r="D8" s="175">
        <v>0</v>
      </c>
      <c r="E8" s="95"/>
      <c r="F8" s="81"/>
      <c r="G8" s="86">
        <f t="shared" ref="G8:G10" si="0">SUM(D8-E8+F8)</f>
        <v>0</v>
      </c>
      <c r="H8" s="175">
        <v>0</v>
      </c>
    </row>
    <row r="9" spans="1:8">
      <c r="A9" s="81" t="s">
        <v>232</v>
      </c>
      <c r="B9" s="98"/>
      <c r="C9" s="373"/>
      <c r="D9" s="375">
        <v>500000</v>
      </c>
      <c r="E9" s="95"/>
      <c r="F9" s="374"/>
      <c r="G9" s="86">
        <f t="shared" si="0"/>
        <v>500000</v>
      </c>
      <c r="H9" s="375">
        <v>500000</v>
      </c>
    </row>
    <row r="10" spans="1:8">
      <c r="A10" s="81" t="s">
        <v>60</v>
      </c>
      <c r="B10" s="82"/>
      <c r="C10" s="83"/>
      <c r="D10" s="84">
        <f>SUM(D7:D9)</f>
        <v>1000000</v>
      </c>
      <c r="E10" s="84">
        <f>SUM(E7:E9)</f>
        <v>0</v>
      </c>
      <c r="F10" s="84">
        <f>SUM(F7:F9)</f>
        <v>0</v>
      </c>
      <c r="G10" s="86">
        <f t="shared" si="0"/>
        <v>1000000</v>
      </c>
      <c r="H10" s="84">
        <f>SUM(H7:H9)</f>
        <v>1000000</v>
      </c>
    </row>
    <row r="11" spans="1:8">
      <c r="A11" s="81" t="s">
        <v>47</v>
      </c>
      <c r="B11" s="94"/>
      <c r="C11" s="96"/>
      <c r="D11" s="100">
        <v>2460841.52</v>
      </c>
      <c r="E11" s="95"/>
      <c r="F11" s="81"/>
      <c r="G11" s="86">
        <f>SUM(D11-E11+F11)</f>
        <v>2460841.52</v>
      </c>
      <c r="H11" s="100">
        <v>1458463.03</v>
      </c>
    </row>
    <row r="12" spans="1:8">
      <c r="A12" s="81"/>
      <c r="B12" s="82"/>
      <c r="C12" s="96"/>
      <c r="D12" s="100"/>
      <c r="E12" s="85"/>
      <c r="F12" s="86"/>
      <c r="G12" s="86">
        <f>SUM(D12-E12+F12)</f>
        <v>0</v>
      </c>
      <c r="H12" s="100"/>
    </row>
    <row r="13" spans="1:8">
      <c r="A13" s="81"/>
      <c r="B13" s="94"/>
      <c r="C13" s="96"/>
      <c r="D13" s="100"/>
      <c r="E13" s="101"/>
      <c r="F13" s="86"/>
      <c r="G13" s="100">
        <f>SUM(D13+F13-E13)</f>
        <v>0</v>
      </c>
      <c r="H13" s="100"/>
    </row>
    <row r="14" spans="1:8">
      <c r="A14" s="87"/>
      <c r="B14" s="87"/>
      <c r="C14" s="88"/>
      <c r="D14" s="89"/>
      <c r="E14" s="90"/>
      <c r="F14" s="89"/>
      <c r="G14" s="89"/>
      <c r="H14" s="47"/>
    </row>
    <row r="15" spans="1:8">
      <c r="A15" s="75"/>
      <c r="B15" s="75"/>
      <c r="C15" s="76"/>
      <c r="D15" s="112">
        <f>SUM(D10:D11)</f>
        <v>3460841.52</v>
      </c>
      <c r="E15" s="92"/>
      <c r="F15" s="91"/>
      <c r="G15" s="112">
        <f>SUM(G10:G11)</f>
        <v>3460841.52</v>
      </c>
      <c r="H15" s="48">
        <f>SUM(H12:H13)</f>
        <v>0</v>
      </c>
    </row>
  </sheetData>
  <mergeCells count="1">
    <mergeCell ref="E4:F4"/>
  </mergeCells>
  <phoneticPr fontId="0" type="noConversion"/>
  <pageMargins left="0.75" right="0.75" top="1" bottom="1" header="0.5" footer="0.5"/>
  <pageSetup orientation="portrait" horizontalDpi="180" verticalDpi="18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H11"/>
  <sheetViews>
    <sheetView zoomScale="120" workbookViewId="0">
      <selection activeCell="A74" sqref="A74"/>
    </sheetView>
  </sheetViews>
  <sheetFormatPr defaultColWidth="9.140625" defaultRowHeight="21"/>
  <cols>
    <col min="1" max="1" width="22" style="1" customWidth="1"/>
    <col min="2" max="2" width="11" style="1" bestFit="1" customWidth="1"/>
    <col min="3" max="3" width="6.28515625" style="1" customWidth="1"/>
    <col min="4" max="4" width="12.7109375" style="1" customWidth="1"/>
    <col min="5" max="5" width="11.5703125" style="1" customWidth="1"/>
    <col min="6" max="6" width="11.42578125" style="1" customWidth="1"/>
    <col min="7" max="7" width="14" style="1" customWidth="1"/>
    <col min="8" max="8" width="12.5703125" style="1" customWidth="1"/>
    <col min="9" max="16384" width="9.140625" style="1"/>
  </cols>
  <sheetData>
    <row r="1" spans="1:8">
      <c r="A1" s="41" t="str">
        <f>+C1.1!A1</f>
        <v>ลูกค้า ห้างหุ้นส่วนจำกัด จรัญ อำภา ทรานสปอร์ต</v>
      </c>
      <c r="F1" s="1" t="s">
        <v>7</v>
      </c>
      <c r="H1" s="71" t="s">
        <v>81</v>
      </c>
    </row>
    <row r="2" spans="1:8">
      <c r="A2" s="1" t="s">
        <v>96</v>
      </c>
      <c r="F2" s="72" t="s">
        <v>8</v>
      </c>
      <c r="G2" s="73" t="s">
        <v>9</v>
      </c>
    </row>
    <row r="3" spans="1:8">
      <c r="A3" s="1" t="str">
        <f>+C1.1!A3</f>
        <v>ณ 31 ธันวาคม 2559</v>
      </c>
      <c r="F3" s="72" t="s">
        <v>10</v>
      </c>
      <c r="G3" s="73" t="s">
        <v>9</v>
      </c>
    </row>
    <row r="4" spans="1:8">
      <c r="A4" s="45" t="s">
        <v>0</v>
      </c>
      <c r="B4" s="45" t="s">
        <v>18</v>
      </c>
      <c r="C4" s="74" t="s">
        <v>1</v>
      </c>
      <c r="D4" s="45" t="s">
        <v>2</v>
      </c>
      <c r="E4" s="501" t="s">
        <v>3</v>
      </c>
      <c r="F4" s="503"/>
      <c r="G4" s="45" t="s">
        <v>4</v>
      </c>
      <c r="H4" s="45" t="s">
        <v>48</v>
      </c>
    </row>
    <row r="5" spans="1:8">
      <c r="A5" s="75"/>
      <c r="B5" s="75"/>
      <c r="C5" s="76"/>
      <c r="D5" s="46">
        <f>+C1.1!D5</f>
        <v>2560</v>
      </c>
      <c r="E5" s="46" t="str">
        <f>+C1.1!E5</f>
        <v>Dr</v>
      </c>
      <c r="F5" s="46" t="str">
        <f>+C1.1!F5</f>
        <v>Cr</v>
      </c>
      <c r="G5" s="46">
        <f>+C1.1!G5</f>
        <v>2560</v>
      </c>
      <c r="H5" s="46">
        <f>+C1.1!H5</f>
        <v>2559</v>
      </c>
    </row>
    <row r="6" spans="1:8">
      <c r="A6" s="42"/>
      <c r="B6" s="42"/>
      <c r="C6" s="251"/>
      <c r="D6" s="42"/>
      <c r="E6" s="251"/>
      <c r="F6" s="42"/>
      <c r="G6" s="42"/>
      <c r="H6" s="80"/>
    </row>
    <row r="7" spans="1:8">
      <c r="A7" s="98" t="s">
        <v>216</v>
      </c>
      <c r="B7" s="98"/>
      <c r="C7" s="373"/>
      <c r="D7" s="99">
        <f>8414913+861483</f>
        <v>9276396</v>
      </c>
      <c r="E7" s="468"/>
      <c r="F7" s="270"/>
      <c r="G7" s="86">
        <f>SUM(D7-E7+F7)</f>
        <v>9276396</v>
      </c>
      <c r="H7" s="239">
        <v>8257556</v>
      </c>
    </row>
    <row r="8" spans="1:8">
      <c r="A8" s="98" t="s">
        <v>124</v>
      </c>
      <c r="B8" s="87" t="s">
        <v>50</v>
      </c>
      <c r="C8" s="88"/>
      <c r="D8" s="239"/>
      <c r="E8" s="469"/>
      <c r="F8" s="470"/>
      <c r="G8" s="240">
        <f>SUM(D8-E8+F8)</f>
        <v>0</v>
      </c>
      <c r="H8" s="239"/>
    </row>
    <row r="9" spans="1:8">
      <c r="A9" s="75"/>
      <c r="B9" s="75"/>
      <c r="C9" s="76"/>
      <c r="D9" s="91">
        <f>SUM(D7:D8)</f>
        <v>9276396</v>
      </c>
      <c r="E9" s="471"/>
      <c r="F9" s="48">
        <f>SUM(F7:F8)</f>
        <v>0</v>
      </c>
      <c r="G9" s="91">
        <f>SUM(G7:G8)</f>
        <v>9276396</v>
      </c>
      <c r="H9" s="48">
        <f>SUM(H7:H8)</f>
        <v>8257556</v>
      </c>
    </row>
    <row r="11" spans="1:8">
      <c r="D11" s="1">
        <f>+D7*1/100</f>
        <v>92763.96</v>
      </c>
    </row>
  </sheetData>
  <mergeCells count="1">
    <mergeCell ref="E4:F4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"/>
  <sheetViews>
    <sheetView topLeftCell="A4" zoomScale="120" workbookViewId="0">
      <selection activeCell="D14" sqref="D14"/>
    </sheetView>
  </sheetViews>
  <sheetFormatPr defaultColWidth="9.140625" defaultRowHeight="21"/>
  <cols>
    <col min="1" max="1" width="9.140625" style="1"/>
    <col min="2" max="2" width="10.5703125" style="1" customWidth="1"/>
    <col min="3" max="3" width="10.42578125" style="1" customWidth="1"/>
    <col min="4" max="4" width="21.5703125" style="1" customWidth="1"/>
    <col min="5" max="5" width="8" style="1" customWidth="1"/>
    <col min="6" max="6" width="16" style="1" customWidth="1"/>
    <col min="7" max="7" width="16.7109375" style="1" customWidth="1"/>
    <col min="8" max="16384" width="9.140625" style="1"/>
  </cols>
  <sheetData>
    <row r="1" spans="1:7">
      <c r="A1" s="41" t="str">
        <f>+C1.1!A1</f>
        <v>ลูกค้า ห้างหุ้นส่วนจำกัด จรัญ อำภา ทรานสปอร์ต</v>
      </c>
    </row>
    <row r="2" spans="1:7">
      <c r="A2" s="41" t="s">
        <v>257</v>
      </c>
    </row>
    <row r="3" spans="1:7">
      <c r="A3" s="41" t="str">
        <f>+C1.1!A3</f>
        <v>ณ 31 ธันวาคม 2559</v>
      </c>
    </row>
    <row r="4" spans="1:7">
      <c r="A4" s="436" t="s">
        <v>61</v>
      </c>
      <c r="B4" s="501" t="s">
        <v>62</v>
      </c>
      <c r="C4" s="502"/>
      <c r="D4" s="503"/>
      <c r="E4" s="436" t="s">
        <v>63</v>
      </c>
      <c r="F4" s="467" t="s">
        <v>64</v>
      </c>
      <c r="G4" s="436" t="s">
        <v>65</v>
      </c>
    </row>
    <row r="5" spans="1:7">
      <c r="A5" s="325">
        <v>1</v>
      </c>
      <c r="B5" s="438" t="s">
        <v>128</v>
      </c>
      <c r="C5" s="439"/>
      <c r="D5" s="440"/>
      <c r="E5" s="325"/>
      <c r="F5" s="441"/>
      <c r="G5" s="442"/>
    </row>
    <row r="6" spans="1:7">
      <c r="A6" s="443"/>
      <c r="B6" s="444" t="s">
        <v>259</v>
      </c>
      <c r="C6" s="445"/>
      <c r="D6" s="446"/>
      <c r="E6" s="443"/>
      <c r="F6" s="447"/>
      <c r="G6" s="448"/>
    </row>
    <row r="7" spans="1:7">
      <c r="A7" s="443"/>
      <c r="B7" s="444" t="s">
        <v>260</v>
      </c>
      <c r="C7" s="445"/>
      <c r="D7" s="446"/>
      <c r="E7" s="443"/>
      <c r="F7" s="447"/>
      <c r="G7" s="448"/>
    </row>
    <row r="8" spans="1:7">
      <c r="A8" s="443"/>
      <c r="B8" s="444"/>
      <c r="C8" s="445" t="s">
        <v>258</v>
      </c>
      <c r="D8" s="446"/>
      <c r="E8" s="443"/>
      <c r="F8" s="447"/>
      <c r="G8" s="448"/>
    </row>
    <row r="9" spans="1:7">
      <c r="A9" s="443"/>
      <c r="B9" s="444" t="s">
        <v>261</v>
      </c>
      <c r="C9" s="445"/>
      <c r="D9" s="446"/>
      <c r="E9" s="443"/>
      <c r="F9" s="447"/>
      <c r="G9" s="448"/>
    </row>
    <row r="10" spans="1:7">
      <c r="A10" s="443"/>
      <c r="B10" s="444"/>
      <c r="C10" s="445"/>
      <c r="D10" s="446"/>
      <c r="E10" s="443"/>
      <c r="F10" s="447"/>
      <c r="G10" s="448"/>
    </row>
    <row r="11" spans="1:7">
      <c r="A11" s="443">
        <v>2</v>
      </c>
      <c r="B11" s="444" t="s">
        <v>226</v>
      </c>
      <c r="C11" s="445"/>
      <c r="D11" s="446"/>
      <c r="E11" s="443"/>
      <c r="F11" s="447"/>
      <c r="G11" s="448"/>
    </row>
    <row r="12" spans="1:7">
      <c r="A12" s="443"/>
      <c r="B12" s="444"/>
      <c r="C12" s="445" t="s">
        <v>252</v>
      </c>
      <c r="D12" s="446"/>
      <c r="E12" s="443"/>
      <c r="F12" s="447"/>
      <c r="G12" s="448"/>
    </row>
    <row r="13" spans="1:7">
      <c r="A13" s="443"/>
      <c r="B13" s="444" t="s">
        <v>262</v>
      </c>
      <c r="C13" s="445"/>
      <c r="D13" s="446"/>
      <c r="E13" s="443"/>
      <c r="F13" s="447"/>
      <c r="G13" s="448"/>
    </row>
    <row r="14" spans="1:7">
      <c r="A14" s="443"/>
      <c r="B14" s="444"/>
      <c r="C14" s="445"/>
      <c r="D14" s="446"/>
      <c r="E14" s="443"/>
      <c r="F14" s="447"/>
      <c r="G14" s="448"/>
    </row>
    <row r="15" spans="1:7">
      <c r="A15" s="443">
        <v>3</v>
      </c>
      <c r="B15" s="444" t="s">
        <v>66</v>
      </c>
      <c r="C15" s="445"/>
      <c r="D15" s="446"/>
      <c r="E15" s="443"/>
      <c r="F15" s="447">
        <f>'C11'!E62</f>
        <v>0</v>
      </c>
      <c r="G15" s="448"/>
    </row>
    <row r="16" spans="1:7">
      <c r="A16" s="443"/>
      <c r="B16" s="444"/>
      <c r="C16" s="445" t="s">
        <v>180</v>
      </c>
      <c r="D16" s="446"/>
      <c r="E16" s="443"/>
      <c r="F16" s="447"/>
      <c r="G16" s="448">
        <f>+F15-G17</f>
        <v>0</v>
      </c>
    </row>
    <row r="17" spans="1:7">
      <c r="A17" s="443"/>
      <c r="B17" s="444"/>
      <c r="C17" s="445" t="s">
        <v>255</v>
      </c>
      <c r="D17" s="446"/>
      <c r="E17" s="443"/>
      <c r="F17" s="447"/>
      <c r="G17" s="448">
        <f>C3.5!F7</f>
        <v>0</v>
      </c>
    </row>
    <row r="18" spans="1:7">
      <c r="A18" s="443"/>
      <c r="B18" s="444" t="s">
        <v>263</v>
      </c>
      <c r="C18" s="445"/>
      <c r="D18" s="446"/>
      <c r="E18" s="443"/>
      <c r="F18" s="447"/>
      <c r="G18" s="448"/>
    </row>
    <row r="19" spans="1:7">
      <c r="A19" s="46"/>
      <c r="B19" s="449"/>
      <c r="C19" s="450"/>
      <c r="D19" s="451"/>
      <c r="E19" s="46"/>
      <c r="F19" s="452"/>
      <c r="G19" s="453"/>
    </row>
    <row r="20" spans="1:7">
      <c r="E20" s="454"/>
    </row>
    <row r="21" spans="1:7" hidden="1">
      <c r="F21" s="455">
        <f>SUM(F5:F20)</f>
        <v>0</v>
      </c>
      <c r="G21" s="455">
        <f>SUM(G5:G20)</f>
        <v>0</v>
      </c>
    </row>
  </sheetData>
  <mergeCells count="1">
    <mergeCell ref="B4:D4"/>
  </mergeCells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A1:H10"/>
  <sheetViews>
    <sheetView zoomScale="120" workbookViewId="0">
      <selection activeCell="A74" sqref="A74"/>
    </sheetView>
  </sheetViews>
  <sheetFormatPr defaultColWidth="9.140625" defaultRowHeight="21"/>
  <cols>
    <col min="1" max="1" width="26.28515625" style="1" customWidth="1"/>
    <col min="2" max="2" width="11" style="1" bestFit="1" customWidth="1"/>
    <col min="3" max="3" width="6.28515625" style="1" customWidth="1"/>
    <col min="4" max="4" width="12.7109375" style="1" customWidth="1"/>
    <col min="5" max="5" width="11.5703125" style="1" customWidth="1"/>
    <col min="6" max="6" width="11.42578125" style="1" customWidth="1"/>
    <col min="7" max="7" width="14" style="1" customWidth="1"/>
    <col min="8" max="8" width="11.5703125" style="1" customWidth="1"/>
    <col min="9" max="16384" width="9.140625" style="1"/>
  </cols>
  <sheetData>
    <row r="1" spans="1:8">
      <c r="A1" s="41" t="str">
        <f>+C1.1!A1</f>
        <v>ลูกค้า ห้างหุ้นส่วนจำกัด จรัญ อำภา ทรานสปอร์ต</v>
      </c>
      <c r="F1" s="1" t="s">
        <v>7</v>
      </c>
      <c r="H1" s="71" t="s">
        <v>53</v>
      </c>
    </row>
    <row r="2" spans="1:8">
      <c r="A2" s="1" t="s">
        <v>57</v>
      </c>
      <c r="F2" s="72" t="s">
        <v>8</v>
      </c>
      <c r="G2" s="73" t="s">
        <v>9</v>
      </c>
    </row>
    <row r="3" spans="1:8">
      <c r="A3" s="1" t="str">
        <f>+C1.1!A3</f>
        <v>ณ 31 ธันวาคม 2559</v>
      </c>
      <c r="F3" s="72" t="s">
        <v>10</v>
      </c>
      <c r="G3" s="73" t="s">
        <v>9</v>
      </c>
    </row>
    <row r="4" spans="1:8">
      <c r="A4" s="45" t="s">
        <v>0</v>
      </c>
      <c r="B4" s="45" t="s">
        <v>18</v>
      </c>
      <c r="C4" s="74" t="s">
        <v>1</v>
      </c>
      <c r="D4" s="45" t="s">
        <v>2</v>
      </c>
      <c r="E4" s="501" t="s">
        <v>3</v>
      </c>
      <c r="F4" s="503"/>
      <c r="G4" s="45" t="s">
        <v>4</v>
      </c>
      <c r="H4" s="45" t="s">
        <v>48</v>
      </c>
    </row>
    <row r="5" spans="1:8">
      <c r="A5" s="75"/>
      <c r="B5" s="75"/>
      <c r="C5" s="76"/>
      <c r="D5" s="46">
        <f>+C1.1!D5</f>
        <v>2560</v>
      </c>
      <c r="E5" s="46" t="str">
        <f>+C1.1!E5</f>
        <v>Dr</v>
      </c>
      <c r="F5" s="46" t="str">
        <f>+C1.1!F5</f>
        <v>Cr</v>
      </c>
      <c r="G5" s="46">
        <f>+C1.1!G5</f>
        <v>2560</v>
      </c>
      <c r="H5" s="46">
        <f>+C1.1!H5</f>
        <v>2559</v>
      </c>
    </row>
    <row r="6" spans="1:8">
      <c r="A6" s="42"/>
      <c r="B6" s="42"/>
      <c r="C6" s="251"/>
      <c r="D6" s="42"/>
      <c r="E6" s="251"/>
      <c r="F6" s="42"/>
      <c r="G6" s="42"/>
      <c r="H6" s="80"/>
    </row>
    <row r="7" spans="1:8">
      <c r="A7" s="98" t="s">
        <v>282</v>
      </c>
      <c r="B7" s="98"/>
      <c r="C7" s="373"/>
      <c r="D7" s="99">
        <v>82.78</v>
      </c>
      <c r="E7" s="355"/>
      <c r="F7" s="401"/>
      <c r="G7" s="352">
        <f>SUM(D7-E7+F7)</f>
        <v>82.78</v>
      </c>
      <c r="H7" s="302">
        <v>77.319999999999993</v>
      </c>
    </row>
    <row r="8" spans="1:8">
      <c r="A8" s="98" t="s">
        <v>283</v>
      </c>
      <c r="B8" s="81"/>
      <c r="C8" s="95"/>
      <c r="D8" s="270">
        <v>30616.44</v>
      </c>
      <c r="E8" s="355"/>
      <c r="F8" s="401"/>
      <c r="G8" s="352">
        <f t="shared" ref="G8:G9" si="0">SUM(D8-E8+F8)</f>
        <v>30616.44</v>
      </c>
      <c r="H8" s="302">
        <v>28780.82</v>
      </c>
    </row>
    <row r="9" spans="1:8">
      <c r="A9" s="80"/>
      <c r="B9" s="80"/>
      <c r="C9" s="41"/>
      <c r="D9" s="47">
        <v>479.5</v>
      </c>
      <c r="E9" s="41"/>
      <c r="F9" s="269"/>
      <c r="G9" s="103">
        <f t="shared" si="0"/>
        <v>479.5</v>
      </c>
      <c r="H9" s="47">
        <v>0</v>
      </c>
    </row>
    <row r="10" spans="1:8">
      <c r="A10" s="75"/>
      <c r="B10" s="75"/>
      <c r="C10" s="76"/>
      <c r="D10" s="91">
        <f>SUM(D7:D9)</f>
        <v>31178.719999999998</v>
      </c>
      <c r="E10" s="91">
        <f>SUM(E7:E9)</f>
        <v>0</v>
      </c>
      <c r="F10" s="91">
        <f>SUM(F7:F9)</f>
        <v>0</v>
      </c>
      <c r="G10" s="91">
        <f>SUM(G7:G9)</f>
        <v>31178.719999999998</v>
      </c>
      <c r="H10" s="91">
        <f>SUM(H7:H9)</f>
        <v>28858.14</v>
      </c>
    </row>
  </sheetData>
  <mergeCells count="1">
    <mergeCell ref="E4:F4"/>
  </mergeCells>
  <phoneticPr fontId="0" type="noConversion"/>
  <pageMargins left="0.75" right="0.75" top="1" bottom="1" header="0.5" footer="0.5"/>
  <pageSetup orientation="portrait" horizontalDpi="180" verticalDpi="18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2"/>
  <sheetViews>
    <sheetView topLeftCell="A5" zoomScale="120" workbookViewId="0">
      <selection activeCell="A74" sqref="A74"/>
    </sheetView>
  </sheetViews>
  <sheetFormatPr defaultColWidth="9.140625" defaultRowHeight="21"/>
  <cols>
    <col min="1" max="1" width="31.42578125" style="1" customWidth="1"/>
    <col min="2" max="2" width="11" style="1" bestFit="1" customWidth="1"/>
    <col min="3" max="3" width="6.28515625" style="1" customWidth="1"/>
    <col min="4" max="4" width="12.7109375" style="1" customWidth="1"/>
    <col min="5" max="5" width="11.5703125" style="1" customWidth="1"/>
    <col min="6" max="6" width="11.42578125" style="1" customWidth="1"/>
    <col min="7" max="7" width="14" style="1" customWidth="1"/>
    <col min="8" max="8" width="11.5703125" style="1" customWidth="1"/>
    <col min="9" max="9" width="9.140625" style="1"/>
    <col min="10" max="10" width="11.140625" style="1" bestFit="1" customWidth="1"/>
    <col min="11" max="16384" width="9.140625" style="1"/>
  </cols>
  <sheetData>
    <row r="1" spans="1:8">
      <c r="A1" s="41" t="str">
        <f>+[1]C1!A1</f>
        <v>ลูกค้า ห้างหุ้นส่วนจำกัด วิทย์เบญจา</v>
      </c>
      <c r="F1" s="1" t="s">
        <v>7</v>
      </c>
      <c r="H1" s="71" t="s">
        <v>54</v>
      </c>
    </row>
    <row r="2" spans="1:8">
      <c r="A2" s="1" t="s">
        <v>77</v>
      </c>
      <c r="F2" s="72" t="s">
        <v>8</v>
      </c>
      <c r="G2" s="73" t="s">
        <v>9</v>
      </c>
    </row>
    <row r="3" spans="1:8">
      <c r="A3" s="1" t="str">
        <f>+[1]C1!A3</f>
        <v>ณ 31 ธันวาคม 2553</v>
      </c>
      <c r="F3" s="72" t="s">
        <v>10</v>
      </c>
      <c r="G3" s="73" t="s">
        <v>9</v>
      </c>
    </row>
    <row r="4" spans="1:8">
      <c r="A4" s="45" t="s">
        <v>0</v>
      </c>
      <c r="B4" s="45" t="s">
        <v>18</v>
      </c>
      <c r="C4" s="74" t="s">
        <v>1</v>
      </c>
      <c r="D4" s="45" t="s">
        <v>2</v>
      </c>
      <c r="E4" s="501" t="s">
        <v>3</v>
      </c>
      <c r="F4" s="503"/>
      <c r="G4" s="45" t="s">
        <v>4</v>
      </c>
      <c r="H4" s="45" t="s">
        <v>48</v>
      </c>
    </row>
    <row r="5" spans="1:8">
      <c r="A5" s="75"/>
      <c r="B5" s="75"/>
      <c r="C5" s="76"/>
      <c r="D5" s="46">
        <f>+[1]C1!D5</f>
        <v>2553</v>
      </c>
      <c r="E5" s="46" t="str">
        <f>+[1]C1!E5</f>
        <v>Dr</v>
      </c>
      <c r="F5" s="46" t="str">
        <f>+[1]C1!F5</f>
        <v>Cr</v>
      </c>
      <c r="G5" s="46">
        <f>+[1]C1!G5</f>
        <v>2553</v>
      </c>
      <c r="H5" s="46">
        <f>+[1]C1!H5</f>
        <v>2552</v>
      </c>
    </row>
    <row r="6" spans="1:8">
      <c r="A6" s="42"/>
      <c r="B6" s="42"/>
      <c r="C6" s="251"/>
      <c r="D6" s="42"/>
      <c r="E6" s="251"/>
      <c r="F6" s="42"/>
      <c r="G6" s="42"/>
      <c r="H6" s="80"/>
    </row>
    <row r="7" spans="1:8">
      <c r="A7" s="80" t="s">
        <v>316</v>
      </c>
      <c r="B7" s="80"/>
      <c r="C7" s="41"/>
      <c r="D7" s="84">
        <v>0</v>
      </c>
      <c r="E7" s="41"/>
      <c r="F7" s="80"/>
      <c r="G7" s="86">
        <f t="shared" ref="G7:G8" si="0">SUM(D7+E7-F7)</f>
        <v>0</v>
      </c>
      <c r="H7" s="84">
        <v>295000</v>
      </c>
    </row>
    <row r="8" spans="1:8">
      <c r="A8" s="98" t="s">
        <v>291</v>
      </c>
      <c r="B8" s="102"/>
      <c r="C8" s="115"/>
      <c r="D8" s="84">
        <v>1293449</v>
      </c>
      <c r="E8" s="85"/>
      <c r="F8" s="86"/>
      <c r="G8" s="86">
        <f t="shared" si="0"/>
        <v>1293449</v>
      </c>
      <c r="H8" s="84">
        <f>546000+22500+80950+28600</f>
        <v>678050</v>
      </c>
    </row>
    <row r="9" spans="1:8">
      <c r="A9" s="4" t="s">
        <v>297</v>
      </c>
      <c r="B9" s="350"/>
      <c r="C9" s="354"/>
      <c r="D9" s="375">
        <f>1270062.7+141090+183684.49</f>
        <v>1594837.19</v>
      </c>
      <c r="E9" s="351"/>
      <c r="F9" s="352"/>
      <c r="G9" s="352">
        <f>SUM(D9+E9-F9)</f>
        <v>1594837.19</v>
      </c>
      <c r="H9" s="375">
        <f>1346739.95+280412.99</f>
        <v>1627152.94</v>
      </c>
    </row>
    <row r="10" spans="1:8">
      <c r="A10" s="98" t="s">
        <v>284</v>
      </c>
      <c r="B10" s="102"/>
      <c r="C10" s="115"/>
      <c r="D10" s="84">
        <v>240000</v>
      </c>
      <c r="E10" s="351"/>
      <c r="F10" s="352"/>
      <c r="G10" s="352">
        <f t="shared" ref="G10:G17" si="1">SUM(D10+E10-F10)</f>
        <v>240000</v>
      </c>
      <c r="H10" s="84">
        <v>240000</v>
      </c>
    </row>
    <row r="11" spans="1:8">
      <c r="A11" s="98" t="s">
        <v>285</v>
      </c>
      <c r="B11" s="102"/>
      <c r="C11" s="115"/>
      <c r="D11" s="84">
        <v>4305029</v>
      </c>
      <c r="E11" s="351"/>
      <c r="F11" s="352"/>
      <c r="G11" s="352">
        <f t="shared" si="1"/>
        <v>4305029</v>
      </c>
      <c r="H11" s="84">
        <v>3679755</v>
      </c>
    </row>
    <row r="12" spans="1:8">
      <c r="A12" s="98"/>
      <c r="B12" s="102"/>
      <c r="C12" s="115"/>
      <c r="D12" s="84"/>
      <c r="E12" s="351"/>
      <c r="F12" s="352"/>
      <c r="G12" s="352">
        <f t="shared" si="1"/>
        <v>0</v>
      </c>
      <c r="H12" s="84"/>
    </row>
    <row r="13" spans="1:8">
      <c r="A13" s="4" t="s">
        <v>288</v>
      </c>
      <c r="B13" s="350"/>
      <c r="C13" s="354"/>
      <c r="D13" s="375">
        <v>340059.67</v>
      </c>
      <c r="E13" s="351"/>
      <c r="F13" s="352"/>
      <c r="G13" s="352">
        <f t="shared" si="1"/>
        <v>340059.67</v>
      </c>
      <c r="H13" s="375">
        <v>201399.5</v>
      </c>
    </row>
    <row r="14" spans="1:8">
      <c r="A14" s="4"/>
      <c r="B14" s="350"/>
      <c r="C14" s="354"/>
      <c r="D14" s="375"/>
      <c r="E14" s="351"/>
      <c r="F14" s="352"/>
      <c r="G14" s="352">
        <f t="shared" si="1"/>
        <v>0</v>
      </c>
      <c r="H14" s="375"/>
    </row>
    <row r="15" spans="1:8">
      <c r="A15" s="4"/>
      <c r="B15" s="350"/>
      <c r="C15" s="354"/>
      <c r="D15" s="375"/>
      <c r="E15" s="351"/>
      <c r="F15" s="352"/>
      <c r="G15" s="352">
        <f t="shared" si="1"/>
        <v>0</v>
      </c>
      <c r="H15" s="375"/>
    </row>
    <row r="16" spans="1:8">
      <c r="A16" s="4"/>
      <c r="B16" s="350"/>
      <c r="C16" s="354"/>
      <c r="D16" s="375"/>
      <c r="E16" s="351"/>
      <c r="F16" s="352"/>
      <c r="G16" s="352">
        <f t="shared" si="1"/>
        <v>0</v>
      </c>
      <c r="H16" s="375"/>
    </row>
    <row r="17" spans="1:8">
      <c r="A17" s="4"/>
      <c r="B17" s="350"/>
      <c r="C17" s="354"/>
      <c r="D17" s="375"/>
      <c r="E17" s="351"/>
      <c r="F17" s="352"/>
      <c r="G17" s="352">
        <f t="shared" si="1"/>
        <v>0</v>
      </c>
      <c r="H17" s="375"/>
    </row>
    <row r="18" spans="1:8">
      <c r="A18" s="80"/>
      <c r="B18" s="179"/>
      <c r="C18" s="180"/>
      <c r="D18" s="175"/>
      <c r="E18" s="97"/>
      <c r="F18" s="181"/>
      <c r="G18" s="181"/>
      <c r="H18" s="175"/>
    </row>
    <row r="19" spans="1:8">
      <c r="A19" s="75"/>
      <c r="B19" s="75"/>
      <c r="C19" s="76"/>
      <c r="D19" s="91">
        <f>SUM(D7:D17)</f>
        <v>7773374.8599999994</v>
      </c>
      <c r="E19" s="91">
        <f>SUM(E8:E17)</f>
        <v>0</v>
      </c>
      <c r="F19" s="91">
        <f>SUM(F8:F18)</f>
        <v>0</v>
      </c>
      <c r="G19" s="91">
        <f>SUM(G7:G18)</f>
        <v>7773374.8599999994</v>
      </c>
      <c r="H19" s="91">
        <f>SUM(H7:H13)</f>
        <v>6721357.4399999995</v>
      </c>
    </row>
    <row r="20" spans="1:8">
      <c r="D20" s="263"/>
    </row>
    <row r="21" spans="1:8">
      <c r="G21" s="178">
        <f>SUM(G16:G17)</f>
        <v>0</v>
      </c>
      <c r="H21" s="263">
        <f>SUM(H16:H17)</f>
        <v>0</v>
      </c>
    </row>
    <row r="22" spans="1:8">
      <c r="H22" s="263">
        <f>+H21+'C11'!H30</f>
        <v>0</v>
      </c>
    </row>
  </sheetData>
  <mergeCells count="1">
    <mergeCell ref="E4:F4"/>
  </mergeCells>
  <phoneticPr fontId="0" type="noConversion"/>
  <pageMargins left="0.39370078740157483" right="0.39370078740157483" top="0.98425196850393704" bottom="0.98425196850393704" header="0.51181102362204722" footer="0.51181102362204722"/>
  <pageSetup paperSize="9" scale="94" orientation="portrait" horizontalDpi="4294967293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FF0000"/>
  </sheetPr>
  <dimension ref="A1:K71"/>
  <sheetViews>
    <sheetView topLeftCell="A49" zoomScale="120" zoomScaleNormal="120" workbookViewId="0">
      <selection activeCell="A74" sqref="A74"/>
    </sheetView>
  </sheetViews>
  <sheetFormatPr defaultColWidth="9.140625" defaultRowHeight="21"/>
  <cols>
    <col min="1" max="1" width="26.7109375" style="1" customWidth="1"/>
    <col min="2" max="2" width="11" style="1" bestFit="1" customWidth="1"/>
    <col min="3" max="3" width="6.5703125" style="1" customWidth="1"/>
    <col min="4" max="4" width="12.7109375" style="1" customWidth="1"/>
    <col min="5" max="5" width="11.5703125" style="1" customWidth="1"/>
    <col min="6" max="6" width="11.42578125" style="1" customWidth="1"/>
    <col min="7" max="7" width="14" style="1" customWidth="1"/>
    <col min="8" max="8" width="11.5703125" style="1" customWidth="1"/>
    <col min="9" max="9" width="1.85546875" style="1" customWidth="1"/>
    <col min="10" max="10" width="14.85546875" style="1" bestFit="1" customWidth="1"/>
    <col min="11" max="16384" width="9.140625" style="1"/>
  </cols>
  <sheetData>
    <row r="1" spans="1:11">
      <c r="A1" s="41" t="str">
        <f>+[1]C1!A1</f>
        <v>ลูกค้า ห้างหุ้นส่วนจำกัด วิทย์เบญจา</v>
      </c>
      <c r="F1" s="1" t="s">
        <v>7</v>
      </c>
      <c r="H1" s="71" t="s">
        <v>56</v>
      </c>
    </row>
    <row r="2" spans="1:11">
      <c r="A2" s="1" t="s">
        <v>78</v>
      </c>
      <c r="F2" s="72" t="s">
        <v>8</v>
      </c>
      <c r="G2" s="73" t="s">
        <v>9</v>
      </c>
    </row>
    <row r="3" spans="1:11">
      <c r="A3" s="1" t="str">
        <f>+[1]C1!A3</f>
        <v>ณ 31 ธันวาคม 2553</v>
      </c>
      <c r="F3" s="72" t="s">
        <v>10</v>
      </c>
      <c r="G3" s="73" t="s">
        <v>9</v>
      </c>
    </row>
    <row r="4" spans="1:11">
      <c r="A4" s="45" t="s">
        <v>0</v>
      </c>
      <c r="B4" s="45" t="s">
        <v>18</v>
      </c>
      <c r="C4" s="74" t="s">
        <v>1</v>
      </c>
      <c r="D4" s="45" t="s">
        <v>2</v>
      </c>
      <c r="E4" s="501" t="s">
        <v>3</v>
      </c>
      <c r="F4" s="503"/>
      <c r="G4" s="45" t="s">
        <v>4</v>
      </c>
      <c r="H4" s="45" t="s">
        <v>48</v>
      </c>
    </row>
    <row r="5" spans="1:11">
      <c r="A5" s="75"/>
      <c r="B5" s="75"/>
      <c r="C5" s="76"/>
      <c r="D5" s="46">
        <f>+[1]C1!D5</f>
        <v>2553</v>
      </c>
      <c r="E5" s="46" t="str">
        <f>+[1]C1!E5</f>
        <v>Dr</v>
      </c>
      <c r="F5" s="46" t="str">
        <f>+[1]C1!F5</f>
        <v>Cr</v>
      </c>
      <c r="G5" s="46">
        <f>+[1]C1!G5</f>
        <v>2553</v>
      </c>
      <c r="H5" s="46">
        <f>+[1]C1!H5</f>
        <v>2552</v>
      </c>
    </row>
    <row r="6" spans="1:11">
      <c r="A6" s="81"/>
      <c r="B6" s="82"/>
      <c r="C6" s="83"/>
      <c r="D6" s="84"/>
      <c r="E6" s="85"/>
      <c r="F6" s="86"/>
      <c r="G6" s="86"/>
      <c r="H6" s="84"/>
      <c r="J6" s="129"/>
      <c r="K6" s="129"/>
    </row>
    <row r="7" spans="1:11">
      <c r="A7" s="98" t="s">
        <v>217</v>
      </c>
      <c r="B7" s="102"/>
      <c r="C7" s="115"/>
      <c r="D7" s="175"/>
      <c r="E7" s="90"/>
      <c r="F7" s="89"/>
      <c r="G7" s="89">
        <f>SUM(D7+E7-F7)</f>
        <v>0</v>
      </c>
      <c r="H7" s="175"/>
      <c r="J7" s="129"/>
      <c r="K7" s="129"/>
    </row>
    <row r="8" spans="1:11">
      <c r="A8" s="98" t="s">
        <v>218</v>
      </c>
      <c r="B8" s="102"/>
      <c r="C8" s="115"/>
      <c r="D8" s="100"/>
      <c r="E8" s="85"/>
      <c r="F8" s="86"/>
      <c r="G8" s="86">
        <f>SUM(D8+E8-F8)</f>
        <v>0</v>
      </c>
      <c r="H8" s="100"/>
      <c r="J8" s="129"/>
      <c r="K8" s="129"/>
    </row>
    <row r="9" spans="1:11">
      <c r="A9" s="98" t="s">
        <v>219</v>
      </c>
      <c r="B9" s="102"/>
      <c r="C9" s="115"/>
      <c r="D9" s="175"/>
      <c r="E9" s="97"/>
      <c r="F9" s="181"/>
      <c r="G9" s="86">
        <f>SUM(D9+E9-F9)</f>
        <v>0</v>
      </c>
      <c r="H9" s="175"/>
      <c r="J9" s="129"/>
      <c r="K9" s="129"/>
    </row>
    <row r="10" spans="1:11">
      <c r="A10" s="98" t="s">
        <v>125</v>
      </c>
      <c r="B10" s="102"/>
      <c r="C10" s="115"/>
      <c r="D10" s="175"/>
      <c r="E10" s="97"/>
      <c r="F10" s="181"/>
      <c r="G10" s="181">
        <f>SUM(D10+E10-F10)</f>
        <v>0</v>
      </c>
      <c r="H10" s="84"/>
      <c r="J10" s="129"/>
      <c r="K10" s="129"/>
    </row>
    <row r="11" spans="1:11">
      <c r="A11" s="98"/>
      <c r="B11" s="102"/>
      <c r="C11" s="115"/>
      <c r="D11" s="177">
        <f>SUM(D7:D10)</f>
        <v>0</v>
      </c>
      <c r="E11" s="177">
        <f>SUM(E7:E10)</f>
        <v>0</v>
      </c>
      <c r="F11" s="177">
        <f>SUM(F7:F10)</f>
        <v>0</v>
      </c>
      <c r="G11" s="177">
        <f>SUM(G7:G10)</f>
        <v>0</v>
      </c>
      <c r="H11" s="177">
        <f>SUM(H7:H10)</f>
        <v>0</v>
      </c>
      <c r="J11" s="129">
        <f>SUM(G11)</f>
        <v>0</v>
      </c>
      <c r="K11" s="129"/>
    </row>
    <row r="12" spans="1:11">
      <c r="A12" s="98"/>
      <c r="B12" s="102"/>
      <c r="C12" s="115"/>
      <c r="D12" s="84"/>
      <c r="E12" s="176"/>
      <c r="F12" s="103"/>
      <c r="G12" s="103"/>
      <c r="H12" s="84"/>
      <c r="J12" s="129"/>
      <c r="K12" s="129"/>
    </row>
    <row r="13" spans="1:11">
      <c r="A13" s="98" t="s">
        <v>321</v>
      </c>
      <c r="B13" s="102"/>
      <c r="C13" s="115"/>
      <c r="D13" s="84">
        <f>57660+2887</f>
        <v>60547</v>
      </c>
      <c r="E13" s="176"/>
      <c r="F13" s="103"/>
      <c r="G13" s="86">
        <f t="shared" ref="G13:G57" si="0">SUM(D13+E13-F13)</f>
        <v>60547</v>
      </c>
      <c r="H13" s="84">
        <v>180000</v>
      </c>
      <c r="J13" s="129"/>
      <c r="K13" s="129"/>
    </row>
    <row r="14" spans="1:11">
      <c r="A14" s="98" t="s">
        <v>303</v>
      </c>
      <c r="B14" s="102"/>
      <c r="C14" s="115"/>
      <c r="D14" s="84">
        <v>3025</v>
      </c>
      <c r="E14" s="85"/>
      <c r="F14" s="86"/>
      <c r="G14" s="86">
        <f t="shared" si="0"/>
        <v>3025</v>
      </c>
      <c r="H14" s="84">
        <v>11759</v>
      </c>
      <c r="J14" s="129"/>
    </row>
    <row r="15" spans="1:11">
      <c r="A15" s="98" t="s">
        <v>302</v>
      </c>
      <c r="B15" s="102"/>
      <c r="C15" s="115"/>
      <c r="D15" s="84">
        <v>33600</v>
      </c>
      <c r="E15" s="85"/>
      <c r="F15" s="86"/>
      <c r="G15" s="86">
        <f t="shared" si="0"/>
        <v>33600</v>
      </c>
      <c r="H15" s="84">
        <v>20700</v>
      </c>
      <c r="J15" s="129">
        <f>+D15+D14</f>
        <v>36625</v>
      </c>
    </row>
    <row r="16" spans="1:11">
      <c r="A16" s="98" t="s">
        <v>106</v>
      </c>
      <c r="B16" s="102"/>
      <c r="C16" s="115"/>
      <c r="D16" s="84">
        <v>7011</v>
      </c>
      <c r="E16" s="85"/>
      <c r="F16" s="86"/>
      <c r="G16" s="86">
        <f t="shared" si="0"/>
        <v>7011</v>
      </c>
      <c r="H16" s="84">
        <v>7573.9</v>
      </c>
      <c r="J16" s="129"/>
    </row>
    <row r="17" spans="1:11">
      <c r="A17" s="98" t="s">
        <v>125</v>
      </c>
      <c r="B17" s="102"/>
      <c r="C17" s="115"/>
      <c r="D17" s="84">
        <v>0</v>
      </c>
      <c r="E17" s="85"/>
      <c r="F17" s="86"/>
      <c r="G17" s="86">
        <f>SUM(D17+E17-F17)</f>
        <v>0</v>
      </c>
      <c r="H17" s="84">
        <v>0</v>
      </c>
      <c r="J17" s="129"/>
    </row>
    <row r="18" spans="1:11">
      <c r="A18" s="98" t="s">
        <v>286</v>
      </c>
      <c r="B18" s="102"/>
      <c r="C18" s="115"/>
      <c r="D18" s="84">
        <v>9000</v>
      </c>
      <c r="E18" s="85"/>
      <c r="F18" s="86"/>
      <c r="G18" s="86">
        <f t="shared" si="0"/>
        <v>9000</v>
      </c>
      <c r="H18" s="84">
        <v>8500</v>
      </c>
      <c r="J18" s="129"/>
    </row>
    <row r="19" spans="1:11">
      <c r="A19" s="98" t="s">
        <v>287</v>
      </c>
      <c r="B19" s="102"/>
      <c r="C19" s="115"/>
      <c r="D19" s="84">
        <v>13000</v>
      </c>
      <c r="E19" s="85"/>
      <c r="F19" s="86"/>
      <c r="G19" s="86">
        <f t="shared" si="0"/>
        <v>13000</v>
      </c>
      <c r="H19" s="84">
        <v>14400</v>
      </c>
      <c r="J19" s="129"/>
    </row>
    <row r="20" spans="1:11">
      <c r="A20" s="98" t="s">
        <v>305</v>
      </c>
      <c r="B20" s="102"/>
      <c r="C20" s="115"/>
      <c r="D20" s="84"/>
      <c r="E20" s="85"/>
      <c r="F20" s="86"/>
      <c r="G20" s="86">
        <f t="shared" si="0"/>
        <v>0</v>
      </c>
      <c r="H20" s="84">
        <v>0</v>
      </c>
      <c r="J20" s="129"/>
    </row>
    <row r="21" spans="1:11">
      <c r="A21" s="98" t="s">
        <v>266</v>
      </c>
      <c r="B21" s="102"/>
      <c r="C21" s="115"/>
      <c r="D21" s="84"/>
      <c r="E21" s="85"/>
      <c r="F21" s="86"/>
      <c r="G21" s="86">
        <f t="shared" si="0"/>
        <v>0</v>
      </c>
      <c r="H21" s="84">
        <v>5840.22</v>
      </c>
      <c r="J21" s="129"/>
    </row>
    <row r="22" spans="1:11">
      <c r="A22" s="98" t="s">
        <v>298</v>
      </c>
      <c r="B22" s="102"/>
      <c r="C22" s="115"/>
      <c r="D22" s="84">
        <v>39.49</v>
      </c>
      <c r="E22" s="85"/>
      <c r="F22" s="86"/>
      <c r="G22" s="86">
        <f t="shared" si="0"/>
        <v>39.49</v>
      </c>
      <c r="H22" s="84">
        <v>0</v>
      </c>
      <c r="J22" s="129"/>
    </row>
    <row r="23" spans="1:11">
      <c r="A23" s="98" t="s">
        <v>301</v>
      </c>
      <c r="B23" s="102"/>
      <c r="C23" s="115"/>
      <c r="D23" s="84">
        <v>63000</v>
      </c>
      <c r="E23" s="85"/>
      <c r="F23" s="86"/>
      <c r="G23" s="86">
        <f t="shared" si="0"/>
        <v>63000</v>
      </c>
      <c r="H23" s="84">
        <v>60000</v>
      </c>
      <c r="J23" s="129"/>
    </row>
    <row r="24" spans="1:11">
      <c r="A24" s="98" t="s">
        <v>300</v>
      </c>
      <c r="B24" s="102"/>
      <c r="C24" s="115"/>
      <c r="D24" s="84">
        <f>31579.31+14740+7575.6</f>
        <v>53894.909999999996</v>
      </c>
      <c r="E24" s="85"/>
      <c r="F24" s="86"/>
      <c r="G24" s="86">
        <f t="shared" si="0"/>
        <v>53894.909999999996</v>
      </c>
      <c r="H24" s="84">
        <f>1416+720</f>
        <v>2136</v>
      </c>
      <c r="J24" s="129"/>
    </row>
    <row r="25" spans="1:11">
      <c r="A25" s="98" t="s">
        <v>126</v>
      </c>
      <c r="B25" s="102"/>
      <c r="C25" s="115"/>
      <c r="D25" s="84">
        <f>39352.41+0.96+0.42</f>
        <v>39353.79</v>
      </c>
      <c r="E25" s="85"/>
      <c r="F25" s="86"/>
      <c r="G25" s="86">
        <f t="shared" si="0"/>
        <v>39353.79</v>
      </c>
      <c r="H25" s="84">
        <v>36214.33</v>
      </c>
    </row>
    <row r="26" spans="1:11">
      <c r="A26" s="98" t="s">
        <v>288</v>
      </c>
      <c r="B26" s="102"/>
      <c r="C26" s="115"/>
      <c r="D26" s="84">
        <v>22572.42</v>
      </c>
      <c r="E26" s="85"/>
      <c r="F26" s="86"/>
      <c r="G26" s="86">
        <f t="shared" si="0"/>
        <v>22572.42</v>
      </c>
      <c r="H26" s="84">
        <f>6532.56+6224.53+3076.11</f>
        <v>15833.2</v>
      </c>
    </row>
    <row r="27" spans="1:11">
      <c r="A27" s="98" t="s">
        <v>320</v>
      </c>
      <c r="B27" s="102"/>
      <c r="C27" s="115"/>
      <c r="D27" s="84">
        <v>62051.16</v>
      </c>
      <c r="E27" s="85"/>
      <c r="F27" s="86"/>
      <c r="G27" s="86">
        <f t="shared" si="0"/>
        <v>62051.16</v>
      </c>
      <c r="H27" s="84">
        <v>4816</v>
      </c>
    </row>
    <row r="28" spans="1:11">
      <c r="A28" s="98" t="s">
        <v>299</v>
      </c>
      <c r="B28" s="102"/>
      <c r="C28" s="115"/>
      <c r="D28" s="84"/>
      <c r="E28" s="85"/>
      <c r="F28" s="86"/>
      <c r="G28" s="86">
        <f t="shared" ref="G28" si="1">SUM(D28+E28-F28)</f>
        <v>0</v>
      </c>
      <c r="H28" s="84">
        <v>0</v>
      </c>
    </row>
    <row r="29" spans="1:11">
      <c r="A29" s="98" t="s">
        <v>319</v>
      </c>
      <c r="B29" s="102"/>
      <c r="C29" s="115"/>
      <c r="D29" s="84">
        <v>220</v>
      </c>
      <c r="E29" s="85"/>
      <c r="F29" s="86"/>
      <c r="G29" s="86">
        <f t="shared" si="0"/>
        <v>220</v>
      </c>
      <c r="H29" s="84"/>
    </row>
    <row r="30" spans="1:11">
      <c r="A30" s="243" t="s">
        <v>122</v>
      </c>
      <c r="B30" s="139"/>
      <c r="C30" s="140"/>
      <c r="D30" s="141">
        <v>4009.36</v>
      </c>
      <c r="E30" s="85"/>
      <c r="F30" s="86"/>
      <c r="G30" s="86">
        <f t="shared" ref="G30" si="2">SUM(D30+E30-F30)</f>
        <v>4009.36</v>
      </c>
      <c r="H30" s="141"/>
      <c r="J30" s="129"/>
      <c r="K30" s="129"/>
    </row>
    <row r="31" spans="1:11">
      <c r="A31" s="98"/>
      <c r="B31" s="102"/>
      <c r="C31" s="115"/>
      <c r="D31" s="84"/>
      <c r="E31" s="176"/>
      <c r="F31" s="103"/>
      <c r="G31" s="86">
        <f t="shared" si="0"/>
        <v>0</v>
      </c>
      <c r="H31" s="84"/>
      <c r="J31" s="129"/>
      <c r="K31" s="129"/>
    </row>
    <row r="32" spans="1:11">
      <c r="A32" s="98"/>
      <c r="B32" s="102"/>
      <c r="C32" s="115"/>
      <c r="D32" s="84"/>
      <c r="E32" s="176"/>
      <c r="F32" s="103"/>
      <c r="G32" s="86">
        <f t="shared" si="0"/>
        <v>0</v>
      </c>
      <c r="H32" s="84"/>
      <c r="J32" s="129"/>
      <c r="K32" s="129"/>
    </row>
    <row r="33" spans="1:11">
      <c r="A33" s="98"/>
      <c r="B33" s="102"/>
      <c r="C33" s="115"/>
      <c r="D33" s="84"/>
      <c r="E33" s="176"/>
      <c r="F33" s="103"/>
      <c r="G33" s="86">
        <f t="shared" si="0"/>
        <v>0</v>
      </c>
      <c r="H33" s="84"/>
      <c r="J33" s="129"/>
      <c r="K33" s="129"/>
    </row>
    <row r="34" spans="1:11">
      <c r="A34" s="98"/>
      <c r="B34" s="102"/>
      <c r="C34" s="115"/>
      <c r="D34" s="84"/>
      <c r="E34" s="176"/>
      <c r="F34" s="103"/>
      <c r="G34" s="86">
        <f t="shared" si="0"/>
        <v>0</v>
      </c>
      <c r="H34" s="84"/>
      <c r="J34" s="129"/>
      <c r="K34" s="129"/>
    </row>
    <row r="35" spans="1:11">
      <c r="A35" s="98"/>
      <c r="B35" s="102"/>
      <c r="C35" s="115"/>
      <c r="D35" s="472"/>
      <c r="E35" s="176"/>
      <c r="F35" s="103"/>
      <c r="G35" s="86">
        <f t="shared" si="0"/>
        <v>0</v>
      </c>
      <c r="H35" s="472"/>
      <c r="J35" s="129"/>
      <c r="K35" s="129"/>
    </row>
    <row r="36" spans="1:11">
      <c r="A36" s="98"/>
      <c r="B36" s="102"/>
      <c r="C36" s="115"/>
      <c r="D36" s="100"/>
      <c r="E36" s="176"/>
      <c r="F36" s="103"/>
      <c r="G36" s="86">
        <f t="shared" si="0"/>
        <v>0</v>
      </c>
      <c r="H36" s="100"/>
      <c r="J36" s="129"/>
      <c r="K36" s="129"/>
    </row>
    <row r="37" spans="1:11">
      <c r="A37" s="98"/>
      <c r="B37" s="102"/>
      <c r="C37" s="115"/>
      <c r="D37" s="84"/>
      <c r="E37" s="176"/>
      <c r="F37" s="103"/>
      <c r="G37" s="86">
        <f t="shared" si="0"/>
        <v>0</v>
      </c>
      <c r="H37" s="84"/>
      <c r="J37" s="129"/>
      <c r="K37" s="129"/>
    </row>
    <row r="38" spans="1:11">
      <c r="A38" s="98"/>
      <c r="B38" s="102"/>
      <c r="C38" s="115"/>
      <c r="D38" s="84"/>
      <c r="E38" s="176"/>
      <c r="F38" s="103"/>
      <c r="G38" s="86">
        <f t="shared" si="0"/>
        <v>0</v>
      </c>
      <c r="H38" s="84"/>
      <c r="J38" s="129" t="e">
        <f>+D36+D37+'C10'!#REF!+'C10'!#REF!+'C10'!#REF!</f>
        <v>#REF!</v>
      </c>
      <c r="K38" s="129"/>
    </row>
    <row r="39" spans="1:11">
      <c r="A39" s="98"/>
      <c r="B39" s="102"/>
      <c r="C39" s="115"/>
      <c r="D39" s="84"/>
      <c r="E39" s="85"/>
      <c r="F39" s="86"/>
      <c r="G39" s="86">
        <f t="shared" si="0"/>
        <v>0</v>
      </c>
      <c r="H39" s="84"/>
      <c r="J39" s="129"/>
    </row>
    <row r="40" spans="1:11">
      <c r="A40" s="98"/>
      <c r="B40" s="102"/>
      <c r="C40" s="115"/>
      <c r="D40" s="84"/>
      <c r="E40" s="85"/>
      <c r="F40" s="86"/>
      <c r="G40" s="86">
        <f t="shared" si="0"/>
        <v>0</v>
      </c>
      <c r="H40" s="84"/>
      <c r="J40" s="129"/>
    </row>
    <row r="41" spans="1:11">
      <c r="A41" s="98"/>
      <c r="B41" s="102"/>
      <c r="C41" s="115"/>
      <c r="D41" s="84"/>
      <c r="E41" s="85"/>
      <c r="F41" s="86"/>
      <c r="G41" s="86">
        <f t="shared" si="0"/>
        <v>0</v>
      </c>
      <c r="H41" s="84"/>
      <c r="J41" s="129"/>
    </row>
    <row r="42" spans="1:11">
      <c r="A42" s="98"/>
      <c r="B42" s="102"/>
      <c r="C42" s="115"/>
      <c r="D42" s="472"/>
      <c r="E42" s="85"/>
      <c r="F42" s="86"/>
      <c r="G42" s="86">
        <f t="shared" si="0"/>
        <v>0</v>
      </c>
      <c r="H42" s="472"/>
      <c r="J42" s="129"/>
    </row>
    <row r="43" spans="1:11">
      <c r="A43" s="98"/>
      <c r="B43" s="102"/>
      <c r="C43" s="115"/>
      <c r="D43" s="84"/>
      <c r="E43" s="85"/>
      <c r="F43" s="86"/>
      <c r="G43" s="86">
        <f t="shared" si="0"/>
        <v>0</v>
      </c>
      <c r="H43" s="84"/>
      <c r="J43" s="129"/>
    </row>
    <row r="44" spans="1:11" ht="22.5" customHeight="1">
      <c r="A44" s="98"/>
      <c r="B44" s="397"/>
      <c r="C44" s="115"/>
      <c r="D44" s="84"/>
      <c r="E44" s="85"/>
      <c r="F44" s="86"/>
      <c r="G44" s="86">
        <f t="shared" si="0"/>
        <v>0</v>
      </c>
      <c r="H44" s="84"/>
    </row>
    <row r="45" spans="1:11" ht="22.5" customHeight="1">
      <c r="A45" s="98"/>
      <c r="B45" s="397"/>
      <c r="C45" s="115"/>
      <c r="D45" s="84"/>
      <c r="E45" s="85"/>
      <c r="F45" s="86"/>
      <c r="G45" s="86">
        <f t="shared" si="0"/>
        <v>0</v>
      </c>
      <c r="H45" s="84"/>
    </row>
    <row r="46" spans="1:11" ht="22.5" customHeight="1">
      <c r="A46" s="98"/>
      <c r="B46" s="102"/>
      <c r="C46" s="115"/>
      <c r="D46" s="84"/>
      <c r="E46" s="85"/>
      <c r="F46" s="86"/>
      <c r="G46" s="86">
        <f t="shared" si="0"/>
        <v>0</v>
      </c>
      <c r="H46" s="84"/>
    </row>
    <row r="47" spans="1:11">
      <c r="A47" s="98"/>
      <c r="B47" s="102"/>
      <c r="C47" s="115"/>
      <c r="D47" s="84"/>
      <c r="E47" s="85"/>
      <c r="F47" s="86"/>
      <c r="G47" s="86">
        <f t="shared" si="0"/>
        <v>0</v>
      </c>
      <c r="H47" s="84"/>
    </row>
    <row r="48" spans="1:11">
      <c r="A48" s="98"/>
      <c r="B48" s="397"/>
      <c r="C48" s="115"/>
      <c r="D48" s="84"/>
      <c r="E48" s="85"/>
      <c r="F48" s="86"/>
      <c r="G48" s="86">
        <f t="shared" ref="G48" si="3">SUM(D48+E48-F48)</f>
        <v>0</v>
      </c>
      <c r="H48" s="84"/>
    </row>
    <row r="49" spans="1:10">
      <c r="A49" s="243"/>
      <c r="B49" s="139"/>
      <c r="C49" s="140"/>
      <c r="D49" s="141"/>
      <c r="E49" s="85"/>
      <c r="F49" s="86"/>
      <c r="G49" s="86">
        <f t="shared" si="0"/>
        <v>0</v>
      </c>
      <c r="H49" s="141"/>
    </row>
    <row r="50" spans="1:10">
      <c r="A50" s="98"/>
      <c r="B50" s="102"/>
      <c r="C50" s="115"/>
      <c r="D50" s="84"/>
      <c r="E50" s="85"/>
      <c r="F50" s="86"/>
      <c r="G50" s="86">
        <f t="shared" si="0"/>
        <v>0</v>
      </c>
      <c r="H50" s="84"/>
    </row>
    <row r="51" spans="1:10">
      <c r="A51" s="98"/>
      <c r="B51" s="102"/>
      <c r="C51" s="115"/>
      <c r="D51" s="84"/>
      <c r="E51" s="85"/>
      <c r="F51" s="86"/>
      <c r="G51" s="86">
        <f t="shared" si="0"/>
        <v>0</v>
      </c>
      <c r="H51" s="84"/>
    </row>
    <row r="52" spans="1:10">
      <c r="A52" s="98"/>
      <c r="B52" s="102"/>
      <c r="C52" s="115"/>
      <c r="D52" s="84"/>
      <c r="E52" s="85"/>
      <c r="F52" s="86"/>
      <c r="G52" s="86">
        <f t="shared" si="0"/>
        <v>0</v>
      </c>
      <c r="H52" s="84"/>
    </row>
    <row r="53" spans="1:10">
      <c r="A53" s="98"/>
      <c r="B53" s="102"/>
      <c r="C53" s="115"/>
      <c r="D53" s="84"/>
      <c r="E53" s="85"/>
      <c r="F53" s="86"/>
      <c r="G53" s="86">
        <f t="shared" si="0"/>
        <v>0</v>
      </c>
      <c r="H53" s="84"/>
    </row>
    <row r="54" spans="1:10" s="142" customFormat="1">
      <c r="A54" s="243"/>
      <c r="B54" s="139"/>
      <c r="C54" s="140"/>
      <c r="D54" s="141"/>
      <c r="E54" s="244"/>
      <c r="F54" s="245"/>
      <c r="G54" s="245">
        <f t="shared" si="0"/>
        <v>0</v>
      </c>
      <c r="H54" s="141"/>
    </row>
    <row r="55" spans="1:10" s="142" customFormat="1">
      <c r="A55" s="243"/>
      <c r="B55" s="139"/>
      <c r="C55" s="140"/>
      <c r="D55" s="141"/>
      <c r="E55" s="244"/>
      <c r="F55" s="245"/>
      <c r="G55" s="245">
        <f t="shared" si="0"/>
        <v>0</v>
      </c>
      <c r="H55" s="141"/>
    </row>
    <row r="56" spans="1:10" s="142" customFormat="1">
      <c r="A56" s="243"/>
      <c r="B56" s="139"/>
      <c r="C56" s="140"/>
      <c r="D56" s="141"/>
      <c r="E56" s="244"/>
      <c r="F56" s="245"/>
      <c r="G56" s="245">
        <f t="shared" si="0"/>
        <v>0</v>
      </c>
      <c r="H56" s="141"/>
    </row>
    <row r="57" spans="1:10" s="142" customFormat="1">
      <c r="A57" s="243"/>
      <c r="B57" s="139"/>
      <c r="C57" s="140"/>
      <c r="D57" s="141"/>
      <c r="E57" s="244"/>
      <c r="F57" s="245"/>
      <c r="G57" s="245">
        <f t="shared" si="0"/>
        <v>0</v>
      </c>
      <c r="H57" s="141"/>
      <c r="J57" s="279"/>
    </row>
    <row r="58" spans="1:10" s="142" customFormat="1">
      <c r="A58" s="152"/>
      <c r="B58" s="139"/>
      <c r="C58" s="140"/>
      <c r="D58" s="155">
        <f>SUM(D12:D57)</f>
        <v>371324.13</v>
      </c>
      <c r="E58" s="155">
        <f t="shared" ref="E58:F58" si="4">SUM(E12:E57)</f>
        <v>0</v>
      </c>
      <c r="F58" s="155">
        <f t="shared" si="4"/>
        <v>0</v>
      </c>
      <c r="G58" s="155">
        <f>SUM(G13:G57)</f>
        <v>371324.13</v>
      </c>
      <c r="H58" s="155">
        <f>SUM(H13:H57)</f>
        <v>367772.65</v>
      </c>
      <c r="J58" s="279">
        <v>4048172.64</v>
      </c>
    </row>
    <row r="59" spans="1:10" s="142" customFormat="1">
      <c r="A59" s="152"/>
      <c r="B59" s="139"/>
      <c r="C59" s="140"/>
      <c r="D59" s="141"/>
      <c r="E59" s="153"/>
      <c r="F59" s="154"/>
      <c r="G59" s="154"/>
      <c r="H59" s="141"/>
      <c r="J59" s="402">
        <f>+J58-H58</f>
        <v>3680399.99</v>
      </c>
    </row>
    <row r="60" spans="1:10" s="188" customFormat="1">
      <c r="A60" s="182" t="s">
        <v>99</v>
      </c>
      <c r="B60" s="183"/>
      <c r="C60" s="184"/>
      <c r="D60" s="185">
        <v>168157.59</v>
      </c>
      <c r="E60" s="186"/>
      <c r="F60" s="187"/>
      <c r="G60" s="189">
        <f>SUM(D60+E60-F60)</f>
        <v>168157.59</v>
      </c>
      <c r="H60" s="185">
        <v>116863.51</v>
      </c>
      <c r="J60" s="280"/>
    </row>
    <row r="61" spans="1:10" s="142" customFormat="1">
      <c r="A61" s="152"/>
      <c r="B61" s="139"/>
      <c r="C61" s="140"/>
      <c r="D61" s="141"/>
      <c r="E61" s="153"/>
      <c r="F61" s="154"/>
      <c r="G61" s="161"/>
      <c r="H61" s="141"/>
      <c r="J61" s="281"/>
    </row>
    <row r="62" spans="1:10" s="162" customFormat="1">
      <c r="A62" s="156" t="s">
        <v>66</v>
      </c>
      <c r="B62" s="157"/>
      <c r="C62" s="158"/>
      <c r="D62" s="159">
        <v>104809.13</v>
      </c>
      <c r="E62" s="160"/>
      <c r="F62" s="161"/>
      <c r="G62" s="161">
        <f>SUM(D62+E62-F62)</f>
        <v>104809.13</v>
      </c>
      <c r="H62" s="159">
        <v>78042.05</v>
      </c>
      <c r="J62" s="282"/>
    </row>
    <row r="63" spans="1:10">
      <c r="A63" s="87"/>
      <c r="B63" s="102"/>
      <c r="C63" s="115"/>
      <c r="D63" s="84"/>
      <c r="E63" s="85"/>
      <c r="F63" s="86"/>
      <c r="G63" s="86"/>
      <c r="H63" s="84"/>
    </row>
    <row r="64" spans="1:10">
      <c r="A64" s="87"/>
      <c r="B64" s="102"/>
      <c r="C64" s="115"/>
      <c r="D64" s="84"/>
      <c r="E64" s="85"/>
      <c r="F64" s="86"/>
      <c r="G64" s="86"/>
      <c r="H64" s="84"/>
    </row>
    <row r="65" spans="1:10">
      <c r="A65" s="75"/>
      <c r="B65" s="75"/>
      <c r="C65" s="76"/>
      <c r="D65" s="163">
        <f>+D11+D58+D60+D62</f>
        <v>644290.85</v>
      </c>
      <c r="E65" s="163">
        <f>+E11+E58+E60+E62</f>
        <v>0</v>
      </c>
      <c r="F65" s="163">
        <f>+F11+F58+F60+F62</f>
        <v>0</v>
      </c>
      <c r="G65" s="163">
        <f>+G11+G58+G60+G62</f>
        <v>644290.85</v>
      </c>
      <c r="H65" s="163">
        <f>+H11+H58+H60+H62</f>
        <v>562678.21000000008</v>
      </c>
      <c r="J65" s="129">
        <f>SUM([1]C10!I27+[1]C11!J38+[1]C11!J10)</f>
        <v>24083994.349999998</v>
      </c>
    </row>
    <row r="66" spans="1:10">
      <c r="D66" s="264"/>
    </row>
    <row r="67" spans="1:10">
      <c r="D67" s="263">
        <v>78265.61</v>
      </c>
      <c r="G67" s="97"/>
    </row>
    <row r="68" spans="1:10">
      <c r="D68" s="263">
        <f>+D67+D60</f>
        <v>246423.2</v>
      </c>
    </row>
    <row r="69" spans="1:10">
      <c r="D69" s="264">
        <v>-68616</v>
      </c>
    </row>
    <row r="70" spans="1:10">
      <c r="D70" s="264">
        <f>+D68+D69</f>
        <v>177807.2</v>
      </c>
    </row>
    <row r="71" spans="1:10">
      <c r="D71" s="1">
        <f>+D70*15/100</f>
        <v>26671.08</v>
      </c>
    </row>
  </sheetData>
  <mergeCells count="1">
    <mergeCell ref="E4:F4"/>
  </mergeCells>
  <phoneticPr fontId="0" type="noConversion"/>
  <pageMargins left="0.56999999999999995" right="0.3" top="0.49" bottom="0.51" header="0.31" footer="0.47244094488188981"/>
  <pageSetup scale="95" orientation="portrait" horizontalDpi="180" verticalDpi="18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A74" sqref="A74"/>
    </sheetView>
  </sheetViews>
  <sheetFormatPr defaultColWidth="9.140625" defaultRowHeight="12.75"/>
  <cols>
    <col min="1" max="1" width="9.140625" style="335"/>
    <col min="2" max="6" width="10.28515625" style="336" customWidth="1"/>
    <col min="7" max="7" width="10.28515625" style="337" customWidth="1"/>
    <col min="8" max="13" width="10.28515625" style="335" customWidth="1"/>
    <col min="14" max="14" width="12.42578125" style="335" customWidth="1"/>
    <col min="15" max="16384" width="9.140625" style="335"/>
  </cols>
  <sheetData>
    <row r="1" spans="1:14">
      <c r="A1" s="342" t="s">
        <v>201</v>
      </c>
    </row>
    <row r="2" spans="1:14">
      <c r="B2" s="338" t="s">
        <v>186</v>
      </c>
      <c r="C2" s="338" t="s">
        <v>187</v>
      </c>
      <c r="D2" s="338" t="s">
        <v>188</v>
      </c>
      <c r="E2" s="338" t="s">
        <v>189</v>
      </c>
      <c r="F2" s="338" t="s">
        <v>190</v>
      </c>
      <c r="G2" s="339" t="s">
        <v>191</v>
      </c>
      <c r="H2" s="340" t="s">
        <v>192</v>
      </c>
      <c r="I2" s="340" t="s">
        <v>193</v>
      </c>
      <c r="J2" s="340" t="s">
        <v>194</v>
      </c>
      <c r="K2" s="340" t="s">
        <v>195</v>
      </c>
      <c r="L2" s="340" t="s">
        <v>196</v>
      </c>
      <c r="M2" s="340" t="s">
        <v>197</v>
      </c>
    </row>
    <row r="3" spans="1:14">
      <c r="A3" s="335" t="s">
        <v>198</v>
      </c>
      <c r="B3" s="336">
        <v>1282.5</v>
      </c>
      <c r="C3" s="336">
        <v>2185</v>
      </c>
      <c r="D3" s="336">
        <v>5248.75</v>
      </c>
      <c r="E3" s="336">
        <v>4132.5</v>
      </c>
      <c r="F3" s="336">
        <v>2303.75</v>
      </c>
      <c r="G3" s="337">
        <v>2731.25</v>
      </c>
      <c r="H3" s="337">
        <v>3372.5</v>
      </c>
      <c r="I3" s="337">
        <v>2425</v>
      </c>
      <c r="J3" s="337">
        <v>3150</v>
      </c>
      <c r="K3" s="337">
        <v>5525</v>
      </c>
      <c r="L3" s="337">
        <v>4050</v>
      </c>
      <c r="M3" s="337">
        <v>2100</v>
      </c>
      <c r="N3" s="336">
        <f>SUM(B3:M3)</f>
        <v>38506.25</v>
      </c>
    </row>
    <row r="4" spans="1:14">
      <c r="A4" s="335" t="s">
        <v>199</v>
      </c>
      <c r="B4" s="336">
        <v>2066</v>
      </c>
      <c r="C4" s="336">
        <v>2683.75</v>
      </c>
      <c r="D4" s="336">
        <v>4643.13</v>
      </c>
      <c r="E4" s="336">
        <v>5296.25</v>
      </c>
      <c r="F4" s="336">
        <v>4940</v>
      </c>
      <c r="G4" s="337">
        <v>1995</v>
      </c>
      <c r="H4" s="337">
        <v>2660</v>
      </c>
      <c r="I4" s="337">
        <v>2100</v>
      </c>
      <c r="J4" s="337">
        <v>4175</v>
      </c>
      <c r="K4" s="337">
        <v>4437.5</v>
      </c>
      <c r="L4" s="337">
        <v>4525</v>
      </c>
      <c r="M4" s="337">
        <v>3775</v>
      </c>
      <c r="N4" s="336">
        <f>SUM(B4:M4)</f>
        <v>43296.630000000005</v>
      </c>
    </row>
    <row r="5" spans="1:14">
      <c r="A5" s="335" t="s">
        <v>200</v>
      </c>
      <c r="C5" s="336">
        <v>1500</v>
      </c>
      <c r="D5" s="336">
        <v>2250</v>
      </c>
      <c r="E5" s="336">
        <v>2250</v>
      </c>
      <c r="F5" s="336">
        <v>4500</v>
      </c>
      <c r="G5" s="337">
        <v>3000</v>
      </c>
      <c r="H5" s="337">
        <v>3000</v>
      </c>
      <c r="I5" s="337">
        <v>2250</v>
      </c>
      <c r="J5" s="337">
        <v>3000</v>
      </c>
      <c r="K5" s="337">
        <v>3600</v>
      </c>
      <c r="L5" s="337">
        <v>2625</v>
      </c>
      <c r="M5" s="337">
        <v>2250</v>
      </c>
      <c r="N5" s="336">
        <f t="shared" ref="N5:N7" si="0">SUM(B5:M5)</f>
        <v>30225</v>
      </c>
    </row>
    <row r="6" spans="1:14">
      <c r="N6" s="336">
        <f t="shared" si="0"/>
        <v>0</v>
      </c>
    </row>
    <row r="7" spans="1:14" ht="13.5" thickBot="1">
      <c r="B7" s="341">
        <f>SUM(B3:B6)</f>
        <v>3348.5</v>
      </c>
      <c r="C7" s="341">
        <f t="shared" ref="C7:M7" si="1">SUM(C3:C6)</f>
        <v>6368.75</v>
      </c>
      <c r="D7" s="341">
        <f t="shared" si="1"/>
        <v>12141.880000000001</v>
      </c>
      <c r="E7" s="341">
        <f t="shared" si="1"/>
        <v>11678.75</v>
      </c>
      <c r="F7" s="341">
        <f t="shared" si="1"/>
        <v>11743.75</v>
      </c>
      <c r="G7" s="341">
        <f t="shared" si="1"/>
        <v>7726.25</v>
      </c>
      <c r="H7" s="341">
        <f t="shared" si="1"/>
        <v>9032.5</v>
      </c>
      <c r="I7" s="341">
        <f t="shared" si="1"/>
        <v>6775</v>
      </c>
      <c r="J7" s="341">
        <f t="shared" si="1"/>
        <v>10325</v>
      </c>
      <c r="K7" s="341">
        <f t="shared" si="1"/>
        <v>13562.5</v>
      </c>
      <c r="L7" s="341">
        <f t="shared" si="1"/>
        <v>11200</v>
      </c>
      <c r="M7" s="341">
        <f t="shared" si="1"/>
        <v>8125</v>
      </c>
      <c r="N7" s="336">
        <f t="shared" si="0"/>
        <v>112027.88</v>
      </c>
    </row>
    <row r="8" spans="1:14" ht="13.5" thickTop="1">
      <c r="N8" s="336">
        <f>SUM(N3:N6)</f>
        <v>112027.88</v>
      </c>
    </row>
    <row r="9" spans="1:14">
      <c r="A9" s="342" t="s">
        <v>202</v>
      </c>
    </row>
    <row r="10" spans="1:14">
      <c r="B10" s="338" t="s">
        <v>186</v>
      </c>
      <c r="C10" s="338" t="s">
        <v>187</v>
      </c>
      <c r="D10" s="338" t="s">
        <v>188</v>
      </c>
      <c r="E10" s="338" t="s">
        <v>189</v>
      </c>
      <c r="F10" s="338" t="s">
        <v>190</v>
      </c>
      <c r="G10" s="339" t="s">
        <v>191</v>
      </c>
      <c r="H10" s="340" t="s">
        <v>192</v>
      </c>
      <c r="I10" s="340" t="s">
        <v>193</v>
      </c>
      <c r="J10" s="340" t="s">
        <v>194</v>
      </c>
      <c r="K10" s="340" t="s">
        <v>195</v>
      </c>
      <c r="L10" s="340" t="s">
        <v>196</v>
      </c>
      <c r="M10" s="340" t="s">
        <v>197</v>
      </c>
    </row>
    <row r="11" spans="1:14">
      <c r="A11" s="335" t="s">
        <v>198</v>
      </c>
      <c r="C11" s="336">
        <v>300</v>
      </c>
      <c r="D11" s="336">
        <v>300</v>
      </c>
      <c r="E11" s="336">
        <v>300</v>
      </c>
      <c r="G11" s="337">
        <v>300</v>
      </c>
      <c r="H11" s="337">
        <v>300</v>
      </c>
      <c r="I11" s="337"/>
      <c r="J11" s="337"/>
      <c r="K11" s="337">
        <v>300</v>
      </c>
      <c r="L11" s="337">
        <v>300</v>
      </c>
      <c r="M11" s="337"/>
      <c r="N11" s="336">
        <f>SUM(B11:M11)</f>
        <v>2100</v>
      </c>
    </row>
    <row r="12" spans="1:14">
      <c r="A12" s="335" t="s">
        <v>199</v>
      </c>
      <c r="B12" s="336">
        <v>300</v>
      </c>
      <c r="C12" s="336">
        <v>300</v>
      </c>
      <c r="D12" s="336">
        <v>300</v>
      </c>
      <c r="E12" s="336">
        <v>300</v>
      </c>
      <c r="G12" s="337">
        <v>300</v>
      </c>
      <c r="H12" s="337">
        <v>300</v>
      </c>
      <c r="I12" s="337">
        <v>300</v>
      </c>
      <c r="J12" s="337">
        <v>300</v>
      </c>
      <c r="K12" s="337">
        <v>300</v>
      </c>
      <c r="L12" s="337">
        <v>300</v>
      </c>
      <c r="M12" s="337">
        <v>300</v>
      </c>
      <c r="N12" s="336">
        <f t="shared" ref="N12:N14" si="2">SUM(B12:M12)</f>
        <v>3300</v>
      </c>
    </row>
    <row r="13" spans="1:14">
      <c r="A13" s="335" t="s">
        <v>200</v>
      </c>
      <c r="H13" s="337"/>
      <c r="I13" s="337"/>
      <c r="J13" s="337"/>
      <c r="K13" s="337"/>
      <c r="L13" s="337"/>
      <c r="M13" s="337"/>
      <c r="N13" s="336">
        <f t="shared" si="2"/>
        <v>0</v>
      </c>
    </row>
    <row r="14" spans="1:14" ht="13.5" thickBot="1">
      <c r="B14" s="341">
        <f>SUM(B11:B13)</f>
        <v>300</v>
      </c>
      <c r="C14" s="341">
        <f t="shared" ref="C14:M14" si="3">SUM(C11:C13)</f>
        <v>600</v>
      </c>
      <c r="D14" s="341">
        <f t="shared" si="3"/>
        <v>600</v>
      </c>
      <c r="E14" s="341">
        <f t="shared" si="3"/>
        <v>600</v>
      </c>
      <c r="F14" s="341">
        <f t="shared" si="3"/>
        <v>0</v>
      </c>
      <c r="G14" s="341">
        <f t="shared" si="3"/>
        <v>600</v>
      </c>
      <c r="H14" s="341">
        <f t="shared" si="3"/>
        <v>600</v>
      </c>
      <c r="I14" s="341">
        <f t="shared" si="3"/>
        <v>300</v>
      </c>
      <c r="J14" s="341">
        <f t="shared" si="3"/>
        <v>300</v>
      </c>
      <c r="K14" s="341">
        <f t="shared" si="3"/>
        <v>600</v>
      </c>
      <c r="L14" s="341">
        <f t="shared" si="3"/>
        <v>600</v>
      </c>
      <c r="M14" s="341">
        <f t="shared" si="3"/>
        <v>300</v>
      </c>
      <c r="N14" s="336">
        <f t="shared" si="2"/>
        <v>5400</v>
      </c>
    </row>
    <row r="15" spans="1:14" ht="13.5" thickTop="1">
      <c r="N15" s="336">
        <f>SUM(N11:N13)</f>
        <v>5400</v>
      </c>
    </row>
  </sheetData>
  <pageMargins left="0.39370078740157483" right="0.39370078740157483" top="0.74803149606299213" bottom="0.74803149606299213" header="0.31496062992125984" footer="0.31496062992125984"/>
  <pageSetup paperSize="9" orientation="landscape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2:G24"/>
  <sheetViews>
    <sheetView workbookViewId="0">
      <selection activeCell="A74" sqref="A74"/>
    </sheetView>
  </sheetViews>
  <sheetFormatPr defaultRowHeight="21.75"/>
  <cols>
    <col min="1" max="1" width="6.28515625" customWidth="1"/>
    <col min="3" max="3" width="9.140625" customWidth="1"/>
    <col min="9" max="9" width="12.28515625" customWidth="1"/>
  </cols>
  <sheetData>
    <row r="2" spans="1:3">
      <c r="A2" t="s">
        <v>234</v>
      </c>
      <c r="B2" t="s">
        <v>235</v>
      </c>
    </row>
    <row r="4" spans="1:3">
      <c r="C4" t="s">
        <v>236</v>
      </c>
    </row>
    <row r="5" spans="1:3">
      <c r="C5" t="s">
        <v>237</v>
      </c>
    </row>
    <row r="6" spans="1:3">
      <c r="C6" t="s">
        <v>238</v>
      </c>
    </row>
    <row r="7" spans="1:3">
      <c r="C7" t="s">
        <v>239</v>
      </c>
    </row>
    <row r="8" spans="1:3">
      <c r="C8" t="s">
        <v>251</v>
      </c>
    </row>
    <row r="9" spans="1:3">
      <c r="C9" t="s">
        <v>240</v>
      </c>
    </row>
    <row r="11" spans="1:3">
      <c r="C11" t="s">
        <v>241</v>
      </c>
    </row>
    <row r="12" spans="1:3">
      <c r="C12" t="s">
        <v>243</v>
      </c>
    </row>
    <row r="13" spans="1:3">
      <c r="C13" t="s">
        <v>244</v>
      </c>
    </row>
    <row r="17" spans="3:7">
      <c r="G17" t="s">
        <v>242</v>
      </c>
    </row>
    <row r="19" spans="3:7">
      <c r="C19" t="s">
        <v>245</v>
      </c>
    </row>
    <row r="20" spans="3:7">
      <c r="C20" t="s">
        <v>246</v>
      </c>
    </row>
    <row r="21" spans="3:7">
      <c r="C21" t="s">
        <v>247</v>
      </c>
    </row>
    <row r="22" spans="3:7">
      <c r="C22" t="s">
        <v>248</v>
      </c>
    </row>
    <row r="23" spans="3:7">
      <c r="C23" t="s">
        <v>249</v>
      </c>
    </row>
    <row r="24" spans="3:7">
      <c r="C24" t="s">
        <v>250</v>
      </c>
    </row>
  </sheetData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M92"/>
  <sheetViews>
    <sheetView topLeftCell="A11" workbookViewId="0">
      <selection activeCell="D123" sqref="D123"/>
    </sheetView>
  </sheetViews>
  <sheetFormatPr defaultColWidth="9.140625" defaultRowHeight="21.75"/>
  <cols>
    <col min="1" max="1" width="4.7109375" style="52" customWidth="1"/>
    <col min="2" max="2" width="9.140625" style="52"/>
    <col min="3" max="3" width="15.140625" style="52" customWidth="1"/>
    <col min="4" max="4" width="27" style="52" customWidth="1"/>
    <col min="5" max="5" width="10.28515625" style="52" customWidth="1"/>
    <col min="6" max="6" width="1" style="52" customWidth="1"/>
    <col min="7" max="7" width="14" style="54" customWidth="1"/>
    <col min="8" max="8" width="1.28515625" style="54" customWidth="1"/>
    <col min="9" max="9" width="14.140625" style="52" customWidth="1"/>
    <col min="10" max="10" width="12.42578125" style="52" customWidth="1"/>
    <col min="11" max="11" width="13" style="52" customWidth="1"/>
    <col min="12" max="12" width="11.5703125" style="52" bestFit="1" customWidth="1"/>
    <col min="13" max="13" width="12" style="52" customWidth="1"/>
    <col min="14" max="16384" width="9.140625" style="52"/>
  </cols>
  <sheetData>
    <row r="1" spans="1:11" ht="21.75" customHeight="1">
      <c r="A1" s="347" t="s">
        <v>267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</row>
    <row r="2" spans="1:11" ht="21.75" customHeight="1">
      <c r="A2" s="493" t="s">
        <v>142</v>
      </c>
      <c r="B2" s="493"/>
      <c r="C2" s="493"/>
      <c r="D2" s="493"/>
      <c r="E2" s="493"/>
      <c r="F2" s="493"/>
      <c r="G2" s="493"/>
      <c r="H2" s="493"/>
      <c r="I2" s="493"/>
    </row>
    <row r="3" spans="1:11" ht="21.75" customHeight="1">
      <c r="A3" s="493" t="s">
        <v>317</v>
      </c>
      <c r="B3" s="493"/>
      <c r="C3" s="493"/>
      <c r="D3" s="493"/>
      <c r="E3" s="493"/>
      <c r="F3" s="493"/>
      <c r="G3" s="493"/>
      <c r="H3" s="493"/>
      <c r="I3" s="493"/>
    </row>
    <row r="4" spans="1:11" ht="10.7" customHeight="1">
      <c r="A4" s="364"/>
      <c r="B4" s="364"/>
      <c r="C4" s="364"/>
      <c r="D4" s="364"/>
      <c r="E4" s="364"/>
      <c r="F4" s="364"/>
      <c r="G4" s="364"/>
      <c r="H4" s="364"/>
      <c r="I4" s="364"/>
    </row>
    <row r="5" spans="1:11" ht="21.75" customHeight="1">
      <c r="A5" s="494" t="s">
        <v>21</v>
      </c>
      <c r="B5" s="494"/>
      <c r="C5" s="494"/>
      <c r="D5" s="494"/>
      <c r="E5" s="494"/>
      <c r="F5" s="494"/>
      <c r="G5" s="494"/>
      <c r="H5" s="494"/>
      <c r="I5" s="494"/>
    </row>
    <row r="6" spans="1:11" ht="20.85" customHeight="1">
      <c r="A6" s="366"/>
      <c r="B6" s="366"/>
      <c r="C6" s="366"/>
      <c r="D6" s="366"/>
      <c r="E6" s="386"/>
      <c r="F6" s="386"/>
      <c r="G6" s="509" t="s">
        <v>221</v>
      </c>
      <c r="H6" s="509"/>
      <c r="I6" s="509"/>
    </row>
    <row r="7" spans="1:11" ht="20.85" customHeight="1">
      <c r="E7" s="57" t="s">
        <v>32</v>
      </c>
      <c r="G7" s="387">
        <v>2560</v>
      </c>
      <c r="H7" s="389"/>
      <c r="I7" s="387">
        <v>2559</v>
      </c>
    </row>
    <row r="8" spans="1:11" ht="20.85" customHeight="1">
      <c r="A8" s="53" t="s">
        <v>20</v>
      </c>
      <c r="B8" s="53"/>
    </row>
    <row r="9" spans="1:11" ht="20.85" customHeight="1">
      <c r="B9" s="52" t="s">
        <v>102</v>
      </c>
      <c r="E9" s="486" t="s">
        <v>203</v>
      </c>
      <c r="G9" s="51">
        <f>'wps&amp;wpl'!F8</f>
        <v>328376.59999999998</v>
      </c>
      <c r="H9" s="52"/>
      <c r="I9" s="51">
        <f>+'wps&amp;wpl'!G8</f>
        <v>399193.27</v>
      </c>
      <c r="J9" s="51"/>
    </row>
    <row r="10" spans="1:11" ht="20.85" customHeight="1">
      <c r="B10" s="52" t="str">
        <f>'wps&amp;wpl'!A9</f>
        <v>ลูกหนี้การค้า</v>
      </c>
      <c r="E10" s="486" t="s">
        <v>292</v>
      </c>
      <c r="G10" s="51">
        <f>+'wps&amp;wpl'!F9</f>
        <v>220602.23999999999</v>
      </c>
      <c r="H10" s="52"/>
      <c r="I10" s="51">
        <f>+'wps&amp;wpl'!G9</f>
        <v>839207.8</v>
      </c>
      <c r="J10" s="51"/>
    </row>
    <row r="11" spans="1:11" ht="20.85" customHeight="1">
      <c r="B11" s="52" t="s">
        <v>150</v>
      </c>
      <c r="E11" s="486">
        <v>6</v>
      </c>
      <c r="G11" s="51">
        <f>+'wps&amp;wpl'!F10</f>
        <v>3600000</v>
      </c>
      <c r="H11" s="52"/>
      <c r="I11" s="51">
        <f>+'wps&amp;wpl'!G10</f>
        <v>2600000</v>
      </c>
      <c r="J11" s="51"/>
    </row>
    <row r="12" spans="1:11" ht="21.75" hidden="1" customHeight="1">
      <c r="B12" s="52" t="s">
        <v>151</v>
      </c>
      <c r="E12" s="486" t="s">
        <v>220</v>
      </c>
      <c r="G12" s="51">
        <f>+'wps&amp;wpl'!F11</f>
        <v>0</v>
      </c>
      <c r="H12" s="52"/>
      <c r="I12" s="51">
        <f>'wps&amp;wpl'!G11</f>
        <v>0</v>
      </c>
      <c r="J12" s="51"/>
    </row>
    <row r="13" spans="1:11" ht="21.75" customHeight="1">
      <c r="B13" s="52" t="str">
        <f>+'wps&amp;wpl'!A12</f>
        <v>สินทรัพย์หมุนเวียนอื่น</v>
      </c>
      <c r="E13" s="486">
        <v>7</v>
      </c>
      <c r="G13" s="51">
        <f>+'wps&amp;wpl'!F12</f>
        <v>43254.640000000014</v>
      </c>
      <c r="H13" s="52"/>
      <c r="I13" s="51">
        <f>+'wps&amp;wpl'!G12</f>
        <v>2593.36</v>
      </c>
      <c r="J13" s="51"/>
    </row>
    <row r="14" spans="1:11" ht="21.75" customHeight="1">
      <c r="C14" s="52" t="s">
        <v>19</v>
      </c>
      <c r="G14" s="56">
        <f>SUM(G9:G13)</f>
        <v>4192233.48</v>
      </c>
      <c r="H14" s="52"/>
      <c r="I14" s="56">
        <f>SUM(I9:I13)</f>
        <v>3840994.43</v>
      </c>
    </row>
    <row r="15" spans="1:11" ht="21.75" customHeight="1">
      <c r="A15" s="53" t="s">
        <v>92</v>
      </c>
      <c r="G15" s="58"/>
      <c r="I15" s="70"/>
    </row>
    <row r="16" spans="1:11" ht="21.75" hidden="1" customHeight="1">
      <c r="A16" s="53"/>
      <c r="B16" s="52" t="str">
        <f>'wps&amp;wpl'!A15</f>
        <v>เงินให้กู้ยืมระยะยาว</v>
      </c>
      <c r="E16" s="486"/>
      <c r="G16" s="70">
        <f>C2.6!G9</f>
        <v>0</v>
      </c>
      <c r="I16" s="70">
        <f>'wps&amp;wpl'!G15</f>
        <v>0</v>
      </c>
    </row>
    <row r="17" spans="1:9" ht="21.75" customHeight="1">
      <c r="B17" s="52" t="s">
        <v>228</v>
      </c>
      <c r="E17" s="498" t="s">
        <v>322</v>
      </c>
      <c r="G17" s="70">
        <f>+'wps&amp;wpl'!F16</f>
        <v>2900706.79</v>
      </c>
      <c r="H17" s="52"/>
      <c r="I17" s="70">
        <f>+'wps&amp;wpl'!G16</f>
        <v>1108366.8799999999</v>
      </c>
    </row>
    <row r="18" spans="1:9" ht="21.75" hidden="1" customHeight="1">
      <c r="B18" s="52" t="str">
        <f>'wps&amp;wpl'!A17</f>
        <v>สินทรัพย์ไม่มีตัวตน</v>
      </c>
      <c r="E18" s="486">
        <v>8</v>
      </c>
      <c r="G18" s="70">
        <f>'wps&amp;wpl'!F17</f>
        <v>0</v>
      </c>
      <c r="H18" s="131"/>
      <c r="I18" s="70">
        <f>'wps&amp;wpl'!G17</f>
        <v>0</v>
      </c>
    </row>
    <row r="19" spans="1:9" ht="21.75" customHeight="1">
      <c r="B19" s="52" t="str">
        <f>'wps&amp;wpl'!A18</f>
        <v>สินทรัพย์ไม่หมุนเวียนอื่น</v>
      </c>
      <c r="E19" s="486"/>
      <c r="G19" s="70">
        <f>'wps&amp;wpl'!F18</f>
        <v>72196.63</v>
      </c>
      <c r="H19" s="52"/>
      <c r="I19" s="70">
        <f>'wps&amp;wpl'!G18</f>
        <v>67196.63</v>
      </c>
    </row>
    <row r="20" spans="1:9" ht="21.75" customHeight="1">
      <c r="C20" s="52" t="s">
        <v>93</v>
      </c>
      <c r="E20" s="363"/>
      <c r="G20" s="56">
        <f>SUM(G16:G19)</f>
        <v>2972903.42</v>
      </c>
      <c r="H20" s="52"/>
      <c r="I20" s="56">
        <f>SUM(I16:I19)</f>
        <v>1175563.5099999998</v>
      </c>
    </row>
    <row r="21" spans="1:9" s="53" customFormat="1" ht="21.75" customHeight="1" thickBot="1">
      <c r="C21" s="53" t="s">
        <v>24</v>
      </c>
      <c r="E21" s="109"/>
      <c r="G21" s="266">
        <f>SUM(G14+G20)</f>
        <v>7165136.9000000004</v>
      </c>
      <c r="I21" s="266">
        <f>SUM(I14+I20)</f>
        <v>5016557.9399999995</v>
      </c>
    </row>
    <row r="22" spans="1:9" ht="8.25" customHeight="1" thickTop="1">
      <c r="E22" s="363"/>
      <c r="G22" s="70"/>
      <c r="H22" s="52"/>
      <c r="I22" s="70"/>
    </row>
    <row r="23" spans="1:9" ht="21.75" customHeight="1">
      <c r="A23" s="510" t="s">
        <v>23</v>
      </c>
      <c r="B23" s="510"/>
      <c r="C23" s="510"/>
      <c r="D23" s="510"/>
      <c r="E23" s="510"/>
      <c r="F23" s="510"/>
      <c r="G23" s="510"/>
      <c r="H23" s="510"/>
      <c r="I23" s="510"/>
    </row>
    <row r="24" spans="1:9" ht="21.75" customHeight="1">
      <c r="A24" s="53" t="s">
        <v>22</v>
      </c>
      <c r="B24" s="53"/>
      <c r="G24" s="52"/>
      <c r="H24" s="52"/>
    </row>
    <row r="25" spans="1:9" ht="21.75" hidden="1" customHeight="1">
      <c r="A25" s="53"/>
      <c r="B25" s="52" t="s">
        <v>161</v>
      </c>
      <c r="G25" s="50">
        <f>'wps&amp;wpl'!F23</f>
        <v>0</v>
      </c>
      <c r="H25" s="52"/>
      <c r="I25" s="50">
        <f>'wps&amp;wpl'!G23</f>
        <v>0</v>
      </c>
    </row>
    <row r="26" spans="1:9" ht="21.75" customHeight="1">
      <c r="A26" s="53"/>
      <c r="B26" s="52" t="s">
        <v>229</v>
      </c>
      <c r="E26" s="486" t="s">
        <v>310</v>
      </c>
      <c r="G26" s="326">
        <f>'wps&amp;wpl'!F24</f>
        <v>603690.25</v>
      </c>
      <c r="H26" s="52"/>
      <c r="I26" s="326">
        <f>'wps&amp;wpl'!G24</f>
        <v>735499.75</v>
      </c>
    </row>
    <row r="27" spans="1:9" ht="21.75" customHeight="1">
      <c r="A27" s="53"/>
      <c r="B27" s="52" t="s">
        <v>175</v>
      </c>
      <c r="E27" s="486" t="s">
        <v>311</v>
      </c>
      <c r="G27" s="326">
        <f>'wps&amp;wpl'!F25</f>
        <v>607983.19999999995</v>
      </c>
      <c r="H27" s="52"/>
      <c r="I27" s="326">
        <f>'wps&amp;wpl'!G25</f>
        <v>258181.44</v>
      </c>
    </row>
    <row r="28" spans="1:9" ht="21.75" hidden="1" customHeight="1">
      <c r="A28" s="53"/>
      <c r="B28" s="52" t="s">
        <v>164</v>
      </c>
      <c r="G28" s="326"/>
      <c r="H28" s="52"/>
      <c r="I28" s="326"/>
    </row>
    <row r="29" spans="1:9" ht="21.75" hidden="1" customHeight="1">
      <c r="A29" s="53"/>
      <c r="B29" s="52" t="s">
        <v>139</v>
      </c>
      <c r="G29" s="326">
        <f>'wps&amp;wpl'!F27</f>
        <v>3575.86</v>
      </c>
      <c r="H29" s="52"/>
      <c r="I29" s="331">
        <f>'wps&amp;wpl'!G27</f>
        <v>0</v>
      </c>
    </row>
    <row r="30" spans="1:9" ht="21.75" hidden="1" customHeight="1">
      <c r="A30" s="53"/>
      <c r="B30" s="52" t="s">
        <v>45</v>
      </c>
      <c r="E30" s="486"/>
      <c r="F30" s="283"/>
      <c r="G30" s="326">
        <f>'wps&amp;wpl'!F28</f>
        <v>0</v>
      </c>
      <c r="H30" s="52"/>
      <c r="I30" s="331">
        <f>+'wps&amp;wpl'!G28</f>
        <v>0</v>
      </c>
    </row>
    <row r="31" spans="1:9" ht="21.75" customHeight="1">
      <c r="A31" s="53"/>
      <c r="C31" s="52" t="s">
        <v>39</v>
      </c>
      <c r="E31" s="57"/>
      <c r="G31" s="327">
        <f>SUM(G26:G29)</f>
        <v>1215249.31</v>
      </c>
      <c r="H31" s="52"/>
      <c r="I31" s="327">
        <f>SUM(I25:I30)</f>
        <v>993681.19</v>
      </c>
    </row>
    <row r="32" spans="1:9" ht="21.75" customHeight="1">
      <c r="A32" s="53" t="s">
        <v>114</v>
      </c>
      <c r="E32" s="57"/>
      <c r="G32" s="328"/>
      <c r="H32" s="52"/>
      <c r="I32" s="328"/>
    </row>
    <row r="33" spans="1:11" ht="21.75" customHeight="1">
      <c r="A33" s="53"/>
      <c r="B33" s="52" t="str">
        <f>'wps&amp;wpl'!A31</f>
        <v>ส่วนของเจ้าหนี้เช่าซื้อที่ครบกำหนดชำระเกินหนึ่งปี</v>
      </c>
      <c r="E33" s="486">
        <v>10</v>
      </c>
      <c r="G33" s="329">
        <f>'wps&amp;wpl'!F31</f>
        <v>1599137.0599999998</v>
      </c>
      <c r="H33" s="131"/>
      <c r="I33" s="329">
        <f>+'wps&amp;wpl'!G31</f>
        <v>562035.23</v>
      </c>
    </row>
    <row r="34" spans="1:11" ht="21.75" hidden="1" customHeight="1">
      <c r="A34" s="53"/>
      <c r="B34" s="52" t="str">
        <f>'wps&amp;wpl'!A32</f>
        <v>เงินกู้ยืมระยะยาว</v>
      </c>
      <c r="E34" s="57">
        <v>11</v>
      </c>
      <c r="G34" s="326">
        <f>'wps&amp;wpl'!F26</f>
        <v>0</v>
      </c>
      <c r="H34" s="52"/>
      <c r="I34" s="326">
        <f>'wps&amp;wpl'!G26</f>
        <v>0</v>
      </c>
    </row>
    <row r="35" spans="1:11" ht="21.75" hidden="1" customHeight="1">
      <c r="A35" s="53"/>
      <c r="B35" s="52" t="str">
        <f>'wps&amp;wpl'!A33</f>
        <v>หนี้สินไม่หมุนเวียนอื่น</v>
      </c>
      <c r="E35" s="57"/>
      <c r="F35" s="131"/>
      <c r="G35" s="329">
        <f>'wps&amp;wpl'!F33</f>
        <v>0</v>
      </c>
      <c r="H35" s="131"/>
      <c r="I35" s="329">
        <f>+'wps&amp;wpl'!G33</f>
        <v>0</v>
      </c>
    </row>
    <row r="36" spans="1:11" ht="21.75" customHeight="1">
      <c r="A36" s="53"/>
      <c r="C36" s="52" t="s">
        <v>116</v>
      </c>
      <c r="E36" s="57"/>
      <c r="G36" s="329">
        <f>SUM(G33:G35)</f>
        <v>1599137.0599999998</v>
      </c>
      <c r="H36" s="52"/>
      <c r="I36" s="329">
        <f>SUM(I33:I35)</f>
        <v>562035.23</v>
      </c>
    </row>
    <row r="37" spans="1:11" ht="21.75" customHeight="1">
      <c r="C37" s="52" t="s">
        <v>25</v>
      </c>
      <c r="E37" s="363"/>
      <c r="G37" s="330">
        <f>SUM(G31+G36)</f>
        <v>2814386.37</v>
      </c>
      <c r="H37" s="52"/>
      <c r="I37" s="330">
        <f>SUM(I31+I36)</f>
        <v>1555716.42</v>
      </c>
    </row>
    <row r="38" spans="1:11" ht="21.75" customHeight="1">
      <c r="A38" s="53" t="s">
        <v>131</v>
      </c>
      <c r="B38" s="53"/>
      <c r="G38" s="51"/>
    </row>
    <row r="39" spans="1:11" ht="21.75" customHeight="1">
      <c r="B39" s="246" t="s">
        <v>132</v>
      </c>
      <c r="C39" s="246"/>
      <c r="E39" s="363"/>
      <c r="G39" s="70"/>
      <c r="H39" s="52"/>
    </row>
    <row r="40" spans="1:11" ht="20.85" customHeight="1">
      <c r="B40" s="246" t="s">
        <v>133</v>
      </c>
      <c r="C40" s="246" t="s">
        <v>268</v>
      </c>
      <c r="D40" s="52" t="s">
        <v>269</v>
      </c>
      <c r="E40" s="363"/>
      <c r="F40" s="51"/>
      <c r="G40" s="70">
        <f>'wps&amp;wpl'!F38</f>
        <v>500000</v>
      </c>
      <c r="H40" s="51"/>
      <c r="I40" s="51">
        <f>'wps&amp;wpl'!G38</f>
        <v>500000</v>
      </c>
    </row>
    <row r="41" spans="1:11" ht="20.85" customHeight="1">
      <c r="B41" s="246"/>
      <c r="C41" s="246" t="s">
        <v>270</v>
      </c>
      <c r="D41" s="52" t="s">
        <v>269</v>
      </c>
      <c r="E41" s="363"/>
      <c r="F41" s="51"/>
      <c r="G41" s="70">
        <f>'wps&amp;wpl'!F40</f>
        <v>500000</v>
      </c>
      <c r="H41" s="51"/>
      <c r="I41" s="51">
        <f>'wps&amp;wpl'!G40</f>
        <v>500000</v>
      </c>
    </row>
    <row r="42" spans="1:11" ht="21.75" customHeight="1">
      <c r="B42" s="246" t="s">
        <v>134</v>
      </c>
      <c r="C42" s="246"/>
      <c r="E42" s="363"/>
      <c r="F42" s="51"/>
      <c r="G42" s="70">
        <f>'wps&amp;wpl'!F42+'wps&amp;wpl'!F45</f>
        <v>3350750.5300000017</v>
      </c>
      <c r="H42" s="51"/>
      <c r="I42" s="51">
        <f>'wps&amp;wpl'!G42+'wps&amp;wpl'!G45</f>
        <v>2460841.5200000005</v>
      </c>
    </row>
    <row r="43" spans="1:11" ht="21.75" customHeight="1">
      <c r="B43" s="246" t="s">
        <v>135</v>
      </c>
      <c r="C43" s="246"/>
      <c r="F43" s="51"/>
      <c r="G43" s="56">
        <f>SUM(G40:G42)</f>
        <v>4350750.5300000012</v>
      </c>
      <c r="H43" s="51"/>
      <c r="I43" s="56">
        <f>SUM(I40:I42)</f>
        <v>3460841.5200000005</v>
      </c>
    </row>
    <row r="44" spans="1:11" s="53" customFormat="1" ht="21.75" customHeight="1" thickBot="1">
      <c r="C44" s="53" t="s">
        <v>136</v>
      </c>
      <c r="F44" s="267"/>
      <c r="G44" s="266">
        <f>SUM(G37+G43)</f>
        <v>7165136.9000000013</v>
      </c>
      <c r="H44" s="267"/>
      <c r="I44" s="266">
        <f>SUM(I37+I43)</f>
        <v>5016557.9400000004</v>
      </c>
      <c r="J44" s="267">
        <f>+G21-G44</f>
        <v>0</v>
      </c>
      <c r="K44" s="267">
        <f>+I44-I21</f>
        <v>0</v>
      </c>
    </row>
    <row r="45" spans="1:11" ht="21.75" hidden="1" customHeight="1" thickTop="1">
      <c r="F45" s="51"/>
      <c r="G45" s="70"/>
      <c r="H45" s="51"/>
      <c r="I45" s="70"/>
      <c r="J45" s="51"/>
      <c r="K45" s="51"/>
    </row>
    <row r="46" spans="1:11" ht="21.75" hidden="1" customHeight="1">
      <c r="F46" s="51"/>
      <c r="G46" s="70"/>
      <c r="H46" s="51"/>
      <c r="I46" s="70"/>
      <c r="J46" s="51"/>
      <c r="K46" s="51"/>
    </row>
    <row r="47" spans="1:11" ht="21.75" hidden="1" customHeight="1">
      <c r="F47" s="51"/>
      <c r="G47" s="70"/>
      <c r="H47" s="51"/>
      <c r="I47" s="70"/>
      <c r="J47" s="51"/>
      <c r="K47" s="51"/>
    </row>
    <row r="48" spans="1:11" ht="21.75" hidden="1" customHeight="1">
      <c r="F48" s="51"/>
      <c r="G48" s="70"/>
      <c r="H48" s="51"/>
      <c r="I48" s="70"/>
      <c r="J48" s="51"/>
      <c r="K48" s="51"/>
    </row>
    <row r="49" spans="1:11" ht="21.75" hidden="1" customHeight="1">
      <c r="F49" s="51"/>
      <c r="G49" s="70"/>
      <c r="H49" s="51"/>
      <c r="I49" s="70"/>
      <c r="J49" s="51"/>
      <c r="K49" s="51"/>
    </row>
    <row r="50" spans="1:11" ht="21.75" customHeight="1" thickTop="1">
      <c r="A50" s="504" t="s">
        <v>52</v>
      </c>
      <c r="B50" s="504"/>
      <c r="C50" s="504"/>
      <c r="D50" s="504"/>
      <c r="E50" s="504"/>
      <c r="F50" s="504"/>
      <c r="G50" s="504"/>
      <c r="H50" s="504"/>
      <c r="I50" s="504"/>
      <c r="J50" s="51"/>
      <c r="K50" s="51"/>
    </row>
    <row r="51" spans="1:11" ht="20.85" customHeight="1">
      <c r="A51" s="363"/>
      <c r="B51" s="363"/>
      <c r="C51" s="363"/>
      <c r="D51" s="363"/>
      <c r="E51" s="363"/>
      <c r="F51" s="363"/>
      <c r="G51" s="363"/>
      <c r="H51" s="363"/>
      <c r="I51" s="363"/>
      <c r="J51" s="51"/>
      <c r="K51" s="51"/>
    </row>
    <row r="52" spans="1:11" s="138" customFormat="1" ht="20.85" customHeight="1">
      <c r="A52" s="511"/>
      <c r="B52" s="511"/>
      <c r="C52" s="511"/>
      <c r="D52" s="511"/>
      <c r="E52" s="511"/>
      <c r="F52" s="511"/>
      <c r="G52" s="511"/>
      <c r="H52" s="511"/>
      <c r="I52" s="511"/>
    </row>
    <row r="53" spans="1:11" ht="20.85" customHeight="1">
      <c r="A53" s="504" t="s">
        <v>313</v>
      </c>
      <c r="B53" s="504"/>
      <c r="C53" s="504"/>
      <c r="D53" s="504"/>
      <c r="E53" s="504"/>
      <c r="F53" s="504"/>
      <c r="G53" s="504"/>
      <c r="H53" s="504"/>
      <c r="I53" s="504"/>
    </row>
    <row r="54" spans="1:11" ht="20.85" customHeight="1">
      <c r="A54" s="504" t="s">
        <v>271</v>
      </c>
      <c r="B54" s="504"/>
      <c r="C54" s="504"/>
      <c r="D54" s="504"/>
      <c r="E54" s="504"/>
      <c r="F54" s="504"/>
      <c r="G54" s="504"/>
      <c r="H54" s="504"/>
      <c r="I54" s="504"/>
      <c r="J54" s="365"/>
      <c r="K54" s="365"/>
    </row>
    <row r="55" spans="1:11" hidden="1">
      <c r="A55" s="512" t="str">
        <f>+A1</f>
        <v>ห้างหุ้นส่วนจำกัด จรัญ อำภา ทรานสปอร์ต</v>
      </c>
      <c r="B55" s="512"/>
      <c r="C55" s="512"/>
      <c r="D55" s="512"/>
      <c r="E55" s="512"/>
      <c r="F55" s="512"/>
      <c r="G55" s="512"/>
      <c r="H55" s="512"/>
      <c r="I55" s="512"/>
    </row>
    <row r="56" spans="1:11" hidden="1">
      <c r="A56" s="507" t="s">
        <v>33</v>
      </c>
      <c r="B56" s="507"/>
      <c r="C56" s="507"/>
      <c r="D56" s="507"/>
      <c r="E56" s="507"/>
      <c r="F56" s="507"/>
      <c r="G56" s="507"/>
      <c r="H56" s="507"/>
      <c r="I56" s="507"/>
    </row>
    <row r="57" spans="1:11" hidden="1">
      <c r="A57" s="507" t="s">
        <v>176</v>
      </c>
      <c r="B57" s="507"/>
      <c r="C57" s="507"/>
      <c r="D57" s="507"/>
      <c r="E57" s="507"/>
      <c r="F57" s="507"/>
      <c r="G57" s="507"/>
      <c r="H57" s="507"/>
      <c r="I57" s="507"/>
    </row>
    <row r="58" spans="1:11" hidden="1">
      <c r="E58" s="53"/>
      <c r="F58" s="53"/>
      <c r="G58" s="508" t="s">
        <v>31</v>
      </c>
      <c r="H58" s="508"/>
      <c r="I58" s="508"/>
    </row>
    <row r="59" spans="1:11" hidden="1">
      <c r="E59" s="260" t="s">
        <v>32</v>
      </c>
      <c r="F59" s="53"/>
      <c r="G59" s="143">
        <v>2554</v>
      </c>
      <c r="H59" s="144"/>
      <c r="I59" s="143">
        <v>2553</v>
      </c>
    </row>
    <row r="60" spans="1:11" hidden="1">
      <c r="A60" s="53" t="s">
        <v>15</v>
      </c>
      <c r="E60" s="363">
        <v>3.2</v>
      </c>
      <c r="F60" s="53"/>
      <c r="G60" s="144"/>
      <c r="H60" s="144"/>
      <c r="I60" s="261"/>
    </row>
    <row r="61" spans="1:11" hidden="1">
      <c r="B61" s="52" t="s">
        <v>69</v>
      </c>
      <c r="E61" s="363"/>
      <c r="G61" s="127">
        <f>+'wps&amp;wpl'!F50</f>
        <v>9276396</v>
      </c>
      <c r="H61" s="127"/>
      <c r="I61" s="127">
        <f>+'wps&amp;wpl'!G50</f>
        <v>8257556</v>
      </c>
    </row>
    <row r="62" spans="1:11" s="131" customFormat="1" hidden="1">
      <c r="B62" s="131" t="s">
        <v>46</v>
      </c>
      <c r="E62" s="57"/>
      <c r="G62" s="137">
        <f>+'wps&amp;wpl'!F51</f>
        <v>31178.719999999998</v>
      </c>
      <c r="H62" s="145"/>
      <c r="I62" s="137">
        <f>+'wps&amp;wpl'!G51</f>
        <v>28858.14</v>
      </c>
    </row>
    <row r="63" spans="1:11" hidden="1">
      <c r="C63" s="53" t="s">
        <v>26</v>
      </c>
      <c r="E63" s="363"/>
      <c r="G63" s="147">
        <f>SUM(G61:G62)</f>
        <v>9307574.7200000007</v>
      </c>
      <c r="H63" s="127"/>
      <c r="I63" s="146">
        <f>SUM(I61:I62)</f>
        <v>8286414.1399999997</v>
      </c>
      <c r="J63" s="284"/>
    </row>
    <row r="64" spans="1:11" hidden="1">
      <c r="A64" s="53" t="s">
        <v>27</v>
      </c>
      <c r="E64" s="363">
        <v>3.2</v>
      </c>
      <c r="G64" s="127"/>
      <c r="H64" s="127"/>
      <c r="I64" s="127"/>
    </row>
    <row r="65" spans="1:13" hidden="1">
      <c r="B65" s="52" t="s">
        <v>206</v>
      </c>
      <c r="E65" s="363"/>
      <c r="G65" s="127">
        <f>+'wps&amp;wpl'!F54</f>
        <v>7773374.8599999994</v>
      </c>
      <c r="H65" s="127"/>
      <c r="I65" s="127">
        <f>+'wps&amp;wpl'!G54</f>
        <v>6721357.4399999995</v>
      </c>
      <c r="J65" s="343"/>
      <c r="K65" s="345"/>
      <c r="L65" s="343"/>
      <c r="M65" s="343"/>
    </row>
    <row r="66" spans="1:13" s="148" customFormat="1" hidden="1">
      <c r="B66" s="52" t="s">
        <v>97</v>
      </c>
      <c r="E66" s="149"/>
      <c r="G66" s="145">
        <f>+'wps&amp;wpl'!F55</f>
        <v>0</v>
      </c>
      <c r="H66" s="145"/>
      <c r="I66" s="145">
        <f>+'wps&amp;wpl'!G55</f>
        <v>0</v>
      </c>
      <c r="J66" s="344"/>
      <c r="K66" s="344"/>
      <c r="L66" s="343"/>
      <c r="M66" s="343"/>
    </row>
    <row r="67" spans="1:13" hidden="1">
      <c r="B67" s="52" t="s">
        <v>98</v>
      </c>
      <c r="G67" s="127">
        <f>+'wps&amp;wpl'!F56</f>
        <v>371324.13</v>
      </c>
      <c r="H67" s="127"/>
      <c r="I67" s="127">
        <f>+'wps&amp;wpl'!G56</f>
        <v>367772.65</v>
      </c>
      <c r="J67" s="127"/>
      <c r="K67" s="343"/>
      <c r="L67" s="343"/>
      <c r="M67" s="343"/>
    </row>
    <row r="68" spans="1:13" s="53" customFormat="1" hidden="1">
      <c r="C68" s="53" t="s">
        <v>28</v>
      </c>
      <c r="E68" s="109"/>
      <c r="G68" s="146">
        <f>SUM(G65:G67)</f>
        <v>8144698.9899999993</v>
      </c>
      <c r="H68" s="147"/>
      <c r="I68" s="265">
        <f>SUM(I65:I67)</f>
        <v>7089130.0899999999</v>
      </c>
      <c r="J68" s="346"/>
      <c r="K68" s="346"/>
    </row>
    <row r="69" spans="1:13" s="53" customFormat="1" hidden="1">
      <c r="A69" s="53" t="s">
        <v>204</v>
      </c>
      <c r="G69" s="146">
        <f>+G63-G68</f>
        <v>1162875.7300000014</v>
      </c>
      <c r="H69" s="147"/>
      <c r="I69" s="146">
        <f>+I63-I68</f>
        <v>1197284.0499999998</v>
      </c>
      <c r="J69" s="147"/>
    </row>
    <row r="70" spans="1:13" hidden="1">
      <c r="A70" s="52" t="s">
        <v>99</v>
      </c>
      <c r="G70" s="137">
        <f>+'wps&amp;wpl'!F57</f>
        <v>168157.59</v>
      </c>
      <c r="H70" s="145"/>
      <c r="I70" s="137">
        <f>'C11'!H60</f>
        <v>116863.51</v>
      </c>
    </row>
    <row r="71" spans="1:13" s="53" customFormat="1" hidden="1">
      <c r="A71" s="53" t="s">
        <v>137</v>
      </c>
      <c r="G71" s="150">
        <f>+G69-G70</f>
        <v>994718.14000000141</v>
      </c>
      <c r="H71" s="147"/>
      <c r="I71" s="150">
        <f>+I69-I70</f>
        <v>1080420.5399999998</v>
      </c>
    </row>
    <row r="72" spans="1:13" hidden="1">
      <c r="A72" s="52" t="s">
        <v>205</v>
      </c>
      <c r="E72" s="363">
        <v>12</v>
      </c>
      <c r="G72" s="137">
        <f>'C11'!G62</f>
        <v>104809.13</v>
      </c>
      <c r="H72" s="127"/>
      <c r="I72" s="137">
        <f>+'wps&amp;wpl'!G58</f>
        <v>78042.05</v>
      </c>
    </row>
    <row r="73" spans="1:13" ht="22.5" hidden="1" thickBot="1">
      <c r="A73" s="53" t="s">
        <v>68</v>
      </c>
      <c r="G73" s="128">
        <f>+G71-G72</f>
        <v>889909.01000000141</v>
      </c>
      <c r="H73" s="147"/>
      <c r="I73" s="164">
        <f>+I71-I72</f>
        <v>1002378.4899999998</v>
      </c>
    </row>
    <row r="74" spans="1:13" hidden="1">
      <c r="G74" s="51"/>
    </row>
    <row r="75" spans="1:13" hidden="1">
      <c r="E75" s="363"/>
      <c r="G75" s="59"/>
      <c r="H75" s="51"/>
      <c r="I75" s="59"/>
    </row>
    <row r="76" spans="1:13" hidden="1">
      <c r="G76" s="51"/>
      <c r="H76" s="51"/>
    </row>
    <row r="77" spans="1:13" hidden="1">
      <c r="G77" s="262"/>
      <c r="H77" s="51"/>
      <c r="I77" s="262"/>
    </row>
    <row r="78" spans="1:13" hidden="1">
      <c r="G78" s="70"/>
      <c r="H78" s="51"/>
    </row>
    <row r="79" spans="1:13" hidden="1">
      <c r="G79" s="51"/>
      <c r="H79" s="51"/>
    </row>
    <row r="80" spans="1:13" hidden="1"/>
    <row r="81" spans="1:9" hidden="1"/>
    <row r="82" spans="1:9" hidden="1"/>
    <row r="83" spans="1:9" hidden="1"/>
    <row r="84" spans="1:9" ht="22.5" hidden="1" customHeight="1">
      <c r="A84" s="504" t="s">
        <v>52</v>
      </c>
      <c r="B84" s="504"/>
      <c r="C84" s="504"/>
      <c r="D84" s="504"/>
      <c r="E84" s="504"/>
      <c r="F84" s="504"/>
      <c r="G84" s="504"/>
      <c r="H84" s="504"/>
      <c r="I84" s="504"/>
    </row>
    <row r="85" spans="1:9" ht="22.5" hidden="1" customHeight="1">
      <c r="A85" s="363"/>
      <c r="B85" s="363"/>
      <c r="C85" s="363"/>
      <c r="D85" s="363"/>
      <c r="E85" s="363"/>
      <c r="F85" s="363"/>
      <c r="G85" s="363"/>
      <c r="H85" s="363"/>
      <c r="I85" s="363"/>
    </row>
    <row r="86" spans="1:9" hidden="1"/>
    <row r="87" spans="1:9" hidden="1">
      <c r="A87" s="504" t="str">
        <f>+A53</f>
        <v>ลงชื่อ___________________________หุ้นส่วนผู้จัดการ</v>
      </c>
      <c r="B87" s="504"/>
      <c r="C87" s="504"/>
      <c r="D87" s="504"/>
      <c r="E87" s="504"/>
      <c r="F87" s="504"/>
      <c r="G87" s="504"/>
      <c r="H87" s="504"/>
      <c r="I87" s="504"/>
    </row>
    <row r="88" spans="1:9" hidden="1">
      <c r="A88" s="504" t="str">
        <f>+A54</f>
        <v xml:space="preserve"> ( นายไกรสร  แสงจันทร์ )</v>
      </c>
      <c r="B88" s="504"/>
      <c r="C88" s="504"/>
      <c r="D88" s="504"/>
      <c r="E88" s="504"/>
      <c r="F88" s="504"/>
      <c r="G88" s="504"/>
      <c r="H88" s="504"/>
      <c r="I88" s="504"/>
    </row>
    <row r="89" spans="1:9" hidden="1"/>
    <row r="90" spans="1:9" hidden="1"/>
    <row r="91" spans="1:9" hidden="1"/>
    <row r="92" spans="1:9" hidden="1"/>
  </sheetData>
  <mergeCells count="13">
    <mergeCell ref="A56:I56"/>
    <mergeCell ref="G6:I6"/>
    <mergeCell ref="A23:I23"/>
    <mergeCell ref="A50:I50"/>
    <mergeCell ref="A52:I52"/>
    <mergeCell ref="A53:I53"/>
    <mergeCell ref="A54:I54"/>
    <mergeCell ref="A55:I55"/>
    <mergeCell ref="A57:I57"/>
    <mergeCell ref="G58:I58"/>
    <mergeCell ref="A84:I84"/>
    <mergeCell ref="A87:I87"/>
    <mergeCell ref="A88:I88"/>
  </mergeCells>
  <pageMargins left="0.78740157480314965" right="0.27559055118110237" top="0.39370078740157483" bottom="0.39370078740157483" header="0.27559055118110237" footer="0.31496062992125984"/>
  <pageSetup paperSize="9" orientation="portrait" horizontalDpi="4294967293" verticalDpi="180" r:id="rId1"/>
  <headerFooter alignWithMargins="0"/>
  <rowBreaks count="1" manualBreakCount="1">
    <brk id="5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M32"/>
  <sheetViews>
    <sheetView workbookViewId="0">
      <selection activeCell="D123" sqref="D123"/>
    </sheetView>
  </sheetViews>
  <sheetFormatPr defaultColWidth="9.140625" defaultRowHeight="21.75"/>
  <cols>
    <col min="1" max="1" width="4.7109375" style="52" customWidth="1"/>
    <col min="2" max="2" width="9.140625" style="52"/>
    <col min="3" max="3" width="16.140625" style="52" customWidth="1"/>
    <col min="4" max="4" width="25" style="52" customWidth="1"/>
    <col min="5" max="5" width="10.28515625" style="52" customWidth="1"/>
    <col min="6" max="6" width="1" style="52" customWidth="1"/>
    <col min="7" max="7" width="15" style="54" customWidth="1"/>
    <col min="8" max="8" width="1.28515625" style="54" customWidth="1"/>
    <col min="9" max="10" width="14.140625" style="52" customWidth="1"/>
    <col min="11" max="11" width="15.28515625" style="52" customWidth="1"/>
    <col min="12" max="12" width="11.5703125" style="52" bestFit="1" customWidth="1"/>
    <col min="13" max="13" width="12" style="52" customWidth="1"/>
    <col min="14" max="16384" width="9.140625" style="52"/>
  </cols>
  <sheetData>
    <row r="1" spans="1:13">
      <c r="A1" s="347" t="str">
        <f>'งบปี60 (1)'!A1:I1</f>
        <v>ห้างหุ้นส่วนจำกัด จรัญ อำภา ทรานสปอร์ต</v>
      </c>
      <c r="B1" s="347"/>
      <c r="C1" s="347"/>
      <c r="D1" s="347"/>
      <c r="E1" s="347"/>
      <c r="F1" s="347"/>
      <c r="G1" s="347"/>
      <c r="H1" s="347"/>
      <c r="I1" s="347"/>
    </row>
    <row r="2" spans="1:13">
      <c r="A2" s="493" t="s">
        <v>33</v>
      </c>
      <c r="B2" s="493"/>
      <c r="C2" s="493"/>
      <c r="D2" s="493"/>
      <c r="E2" s="493"/>
      <c r="F2" s="493"/>
      <c r="G2" s="493"/>
      <c r="H2" s="493"/>
      <c r="I2" s="493"/>
    </row>
    <row r="3" spans="1:13">
      <c r="A3" s="493" t="s">
        <v>318</v>
      </c>
      <c r="B3" s="493"/>
      <c r="C3" s="493"/>
      <c r="D3" s="493"/>
      <c r="E3" s="493"/>
      <c r="F3" s="493"/>
      <c r="G3" s="493"/>
      <c r="H3" s="493"/>
      <c r="I3" s="493"/>
    </row>
    <row r="4" spans="1:13">
      <c r="A4" s="477"/>
      <c r="B4" s="477"/>
      <c r="C4" s="477"/>
      <c r="D4" s="477"/>
      <c r="E4" s="477"/>
      <c r="F4" s="477"/>
      <c r="G4" s="477"/>
      <c r="H4" s="477"/>
      <c r="I4" s="477"/>
    </row>
    <row r="5" spans="1:13">
      <c r="E5" s="386"/>
      <c r="F5" s="386"/>
      <c r="G5" s="509" t="s">
        <v>221</v>
      </c>
      <c r="H5" s="509"/>
      <c r="I5" s="509"/>
    </row>
    <row r="6" spans="1:13">
      <c r="E6" s="57" t="s">
        <v>32</v>
      </c>
      <c r="G6" s="387">
        <f>'งบปี60 (1)'!G7</f>
        <v>2560</v>
      </c>
      <c r="H6" s="389"/>
      <c r="I6" s="387">
        <f>'งบปี60 (1)'!I7</f>
        <v>2559</v>
      </c>
    </row>
    <row r="7" spans="1:13">
      <c r="A7" s="53" t="s">
        <v>15</v>
      </c>
      <c r="E7" s="479">
        <v>3.2</v>
      </c>
      <c r="F7" s="53"/>
      <c r="G7" s="144"/>
      <c r="H7" s="144"/>
      <c r="I7" s="261"/>
    </row>
    <row r="8" spans="1:13">
      <c r="B8" s="52" t="s">
        <v>216</v>
      </c>
      <c r="E8" s="479"/>
      <c r="G8" s="127">
        <f>+'wps&amp;wpl'!F50</f>
        <v>9276396</v>
      </c>
      <c r="H8" s="127"/>
      <c r="I8" s="127">
        <f>+'wps&amp;wpl'!G50</f>
        <v>8257556</v>
      </c>
    </row>
    <row r="9" spans="1:13" s="131" customFormat="1">
      <c r="B9" s="131" t="s">
        <v>46</v>
      </c>
      <c r="E9" s="57">
        <v>11</v>
      </c>
      <c r="G9" s="137">
        <f>+'wps&amp;wpl'!F51</f>
        <v>31178.719999999998</v>
      </c>
      <c r="H9" s="145"/>
      <c r="I9" s="137">
        <f>+'wps&amp;wpl'!G51</f>
        <v>28858.14</v>
      </c>
    </row>
    <row r="10" spans="1:13">
      <c r="C10" s="53" t="s">
        <v>26</v>
      </c>
      <c r="E10" s="479"/>
      <c r="G10" s="265">
        <f>SUM(G8:G9)</f>
        <v>9307574.7200000007</v>
      </c>
      <c r="H10" s="127"/>
      <c r="I10" s="265">
        <f>SUM(I8:I9)</f>
        <v>8286414.1399999997</v>
      </c>
      <c r="J10" s="284"/>
    </row>
    <row r="11" spans="1:13">
      <c r="A11" s="53" t="s">
        <v>27</v>
      </c>
      <c r="E11" s="479">
        <v>3.2</v>
      </c>
      <c r="G11" s="127"/>
      <c r="H11" s="127"/>
      <c r="I11" s="127"/>
    </row>
    <row r="12" spans="1:13">
      <c r="B12" s="52" t="s">
        <v>230</v>
      </c>
      <c r="E12" s="479"/>
      <c r="G12" s="484">
        <f>+'wps&amp;wpl'!F54</f>
        <v>7773374.8599999994</v>
      </c>
      <c r="H12" s="127"/>
      <c r="I12" s="127">
        <f>+'wps&amp;wpl'!G54</f>
        <v>6721357.4399999995</v>
      </c>
      <c r="J12" s="343">
        <f>+'รายละเอียดประกอบงบ-1'!E15</f>
        <v>7773374.8599999994</v>
      </c>
      <c r="K12" s="345">
        <f>+'รายละเอียดประกอบงบ-1'!G15</f>
        <v>6721357.4399999995</v>
      </c>
      <c r="L12" s="343"/>
      <c r="M12" s="343"/>
    </row>
    <row r="13" spans="1:13" s="148" customFormat="1" hidden="1">
      <c r="B13" s="52" t="s">
        <v>97</v>
      </c>
      <c r="E13" s="149"/>
      <c r="G13" s="145">
        <f>+'wps&amp;wpl'!F55</f>
        <v>0</v>
      </c>
      <c r="H13" s="145"/>
      <c r="I13" s="145">
        <f>+'wps&amp;wpl'!G55</f>
        <v>0</v>
      </c>
      <c r="J13" s="466">
        <f>'รายละเอียดประกอบงบ-1'!E24</f>
        <v>0</v>
      </c>
      <c r="K13" s="466">
        <f>'รายละเอียดประกอบงบ-1'!G24</f>
        <v>0</v>
      </c>
      <c r="L13" s="343"/>
      <c r="M13" s="343"/>
    </row>
    <row r="14" spans="1:13">
      <c r="B14" s="52" t="s">
        <v>98</v>
      </c>
      <c r="G14" s="127">
        <f>+'wps&amp;wpl'!F56</f>
        <v>371324.13</v>
      </c>
      <c r="H14" s="127"/>
      <c r="I14" s="127">
        <f>+'wps&amp;wpl'!G56</f>
        <v>367772.65</v>
      </c>
      <c r="J14" s="127">
        <f>รายละเอียดประกอบงบ!E25</f>
        <v>371324.13</v>
      </c>
      <c r="K14" s="343">
        <f>รายละเอียดประกอบงบ!G25</f>
        <v>367772.65</v>
      </c>
      <c r="L14" s="343"/>
      <c r="M14" s="343"/>
    </row>
    <row r="15" spans="1:13" s="53" customFormat="1">
      <c r="C15" s="53" t="s">
        <v>28</v>
      </c>
      <c r="E15" s="482"/>
      <c r="G15" s="146">
        <f>SUM(G12:G14)</f>
        <v>8144698.9899999993</v>
      </c>
      <c r="H15" s="147"/>
      <c r="I15" s="265">
        <f>SUM(I12:I14)</f>
        <v>7089130.0899999999</v>
      </c>
      <c r="J15" s="346">
        <f>SUM(J12:J14)</f>
        <v>8144698.9899999993</v>
      </c>
      <c r="K15" s="346">
        <f>SUM(K12:K14)</f>
        <v>7089130.0899999999</v>
      </c>
    </row>
    <row r="16" spans="1:13" s="53" customFormat="1">
      <c r="A16" s="53" t="s">
        <v>204</v>
      </c>
      <c r="G16" s="146">
        <f>+G10-G15</f>
        <v>1162875.7300000014</v>
      </c>
      <c r="H16" s="147"/>
      <c r="I16" s="146">
        <f>+I10-I15</f>
        <v>1197284.0499999998</v>
      </c>
      <c r="J16" s="147">
        <f>+J15-G15</f>
        <v>0</v>
      </c>
      <c r="K16" s="147">
        <f>+K15-I15</f>
        <v>0</v>
      </c>
    </row>
    <row r="17" spans="1:9">
      <c r="A17" s="52" t="s">
        <v>99</v>
      </c>
      <c r="E17" s="479">
        <v>12</v>
      </c>
      <c r="G17" s="137">
        <f>+'wps&amp;wpl'!F57</f>
        <v>168157.59</v>
      </c>
      <c r="H17" s="145"/>
      <c r="I17" s="137">
        <f>'C11'!H60</f>
        <v>116863.51</v>
      </c>
    </row>
    <row r="18" spans="1:9" s="53" customFormat="1">
      <c r="A18" s="53" t="s">
        <v>137</v>
      </c>
      <c r="G18" s="150">
        <f>+G16-G17</f>
        <v>994718.14000000141</v>
      </c>
      <c r="H18" s="147"/>
      <c r="I18" s="150">
        <f>+I16-I17</f>
        <v>1080420.5399999998</v>
      </c>
    </row>
    <row r="19" spans="1:9">
      <c r="A19" s="52" t="s">
        <v>205</v>
      </c>
      <c r="E19" s="479">
        <v>3.8</v>
      </c>
      <c r="G19" s="137">
        <f>'wps&amp;wpl'!F58</f>
        <v>104809.13</v>
      </c>
      <c r="H19" s="127"/>
      <c r="I19" s="137">
        <f>+'wps&amp;wpl'!G58</f>
        <v>78042.05</v>
      </c>
    </row>
    <row r="20" spans="1:9" ht="22.5" thickBot="1">
      <c r="A20" s="53" t="s">
        <v>68</v>
      </c>
      <c r="G20" s="128">
        <f>+G18-G19</f>
        <v>889909.01000000141</v>
      </c>
      <c r="H20" s="147"/>
      <c r="I20" s="164">
        <f>+I18-I19</f>
        <v>1002378.4899999998</v>
      </c>
    </row>
    <row r="21" spans="1:9" ht="22.5" thickTop="1">
      <c r="G21" s="51"/>
    </row>
    <row r="22" spans="1:9">
      <c r="E22" s="479"/>
      <c r="G22" s="59"/>
      <c r="H22" s="51"/>
      <c r="I22" s="59"/>
    </row>
    <row r="23" spans="1:9">
      <c r="G23" s="51"/>
      <c r="H23" s="51"/>
    </row>
    <row r="24" spans="1:9">
      <c r="G24" s="51"/>
      <c r="H24" s="51"/>
    </row>
    <row r="28" spans="1:9" ht="22.5" customHeight="1">
      <c r="A28" s="504" t="s">
        <v>52</v>
      </c>
      <c r="B28" s="504"/>
      <c r="C28" s="504"/>
      <c r="D28" s="504"/>
      <c r="E28" s="504"/>
      <c r="F28" s="504"/>
      <c r="G28" s="504"/>
      <c r="H28" s="504"/>
      <c r="I28" s="504"/>
    </row>
    <row r="29" spans="1:9" ht="22.5" customHeight="1">
      <c r="A29" s="55"/>
      <c r="B29" s="55"/>
      <c r="C29" s="55"/>
      <c r="D29" s="55"/>
      <c r="E29" s="55"/>
      <c r="F29" s="55"/>
      <c r="G29" s="55"/>
      <c r="H29" s="55"/>
      <c r="I29" s="55"/>
    </row>
    <row r="31" spans="1:9">
      <c r="A31" s="504" t="str">
        <f>'งบปี60 (1)'!A53:I53</f>
        <v>ลงชื่อ___________________________หุ้นส่วนผู้จัดการ</v>
      </c>
      <c r="B31" s="504"/>
      <c r="C31" s="504"/>
      <c r="D31" s="504"/>
      <c r="E31" s="504"/>
      <c r="F31" s="504"/>
      <c r="G31" s="504"/>
      <c r="H31" s="504"/>
      <c r="I31" s="504"/>
    </row>
    <row r="32" spans="1:9">
      <c r="A32" s="504" t="str">
        <f>'งบปี60 (1)'!A54:I54</f>
        <v xml:space="preserve"> ( นายไกรสร  แสงจันทร์ )</v>
      </c>
      <c r="B32" s="504"/>
      <c r="C32" s="504"/>
      <c r="D32" s="504"/>
      <c r="E32" s="504"/>
      <c r="F32" s="504"/>
      <c r="G32" s="504"/>
      <c r="H32" s="504"/>
      <c r="I32" s="504"/>
    </row>
  </sheetData>
  <mergeCells count="4">
    <mergeCell ref="A32:I32"/>
    <mergeCell ref="A28:I28"/>
    <mergeCell ref="A31:I31"/>
    <mergeCell ref="G5:I5"/>
  </mergeCells>
  <phoneticPr fontId="0" type="noConversion"/>
  <pageMargins left="0.78740157480314965" right="0.27559055118110237" top="0.39370078740157483" bottom="0.39370078740157483" header="0.27559055118110237" footer="0.31496062992125984"/>
  <pageSetup paperSize="9" orientation="portrait" horizontalDpi="4294967293" verticalDpi="18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E19" sqref="E19"/>
    </sheetView>
  </sheetViews>
  <sheetFormatPr defaultColWidth="9.140625" defaultRowHeight="21.95" customHeight="1"/>
  <cols>
    <col min="1" max="2" width="3.7109375" style="246" customWidth="1"/>
    <col min="3" max="3" width="50.140625" style="246" customWidth="1"/>
    <col min="4" max="4" width="2.140625" style="246" customWidth="1"/>
    <col min="5" max="5" width="15" style="246" customWidth="1"/>
    <col min="6" max="6" width="0.85546875" style="246" customWidth="1"/>
    <col min="7" max="7" width="15.140625" style="285" customWidth="1"/>
    <col min="8" max="8" width="12.28515625" style="285" customWidth="1"/>
    <col min="9" max="10" width="11" style="246" bestFit="1" customWidth="1"/>
    <col min="11" max="16384" width="9.140625" style="246"/>
  </cols>
  <sheetData>
    <row r="1" spans="1:7" ht="21.75" customHeight="1">
      <c r="A1" s="490" t="str">
        <f>'งบปี60 (1)'!A1:I1</f>
        <v>ห้างหุ้นส่วนจำกัด จรัญ อำภา ทรานสปอร์ต</v>
      </c>
      <c r="B1" s="490"/>
      <c r="C1" s="490"/>
      <c r="D1" s="490"/>
      <c r="E1" s="490"/>
      <c r="F1" s="490"/>
      <c r="G1" s="490"/>
    </row>
    <row r="2" spans="1:7" ht="21.75" customHeight="1">
      <c r="A2" s="491" t="s">
        <v>177</v>
      </c>
      <c r="D2" s="491"/>
      <c r="E2" s="491"/>
      <c r="F2" s="491"/>
      <c r="G2" s="491"/>
    </row>
    <row r="3" spans="1:7" ht="21.75" customHeight="1">
      <c r="A3" s="491" t="str">
        <f>+'งบปี60 (2)'!A3</f>
        <v>สำหรับปีสิ้นสุดวันที่ 31 ธันวาคม 2560</v>
      </c>
      <c r="D3" s="491"/>
      <c r="E3" s="491"/>
      <c r="F3" s="491"/>
      <c r="G3" s="491"/>
    </row>
    <row r="4" spans="1:7" ht="21.75" customHeight="1">
      <c r="C4" s="480"/>
      <c r="D4" s="480"/>
      <c r="E4" s="480"/>
      <c r="F4" s="480"/>
      <c r="G4" s="480"/>
    </row>
    <row r="5" spans="1:7" ht="21.75" customHeight="1">
      <c r="A5" s="358" t="s">
        <v>230</v>
      </c>
      <c r="B5" s="358"/>
      <c r="D5" s="332"/>
      <c r="E5" s="332"/>
      <c r="F5" s="332"/>
      <c r="G5" s="332"/>
    </row>
    <row r="6" spans="1:7" ht="20.85" customHeight="1">
      <c r="C6" s="286"/>
      <c r="E6" s="509" t="s">
        <v>221</v>
      </c>
      <c r="F6" s="509"/>
      <c r="G6" s="509"/>
    </row>
    <row r="7" spans="1:7" ht="20.85" customHeight="1">
      <c r="C7" s="287" t="s">
        <v>75</v>
      </c>
      <c r="D7" s="287"/>
      <c r="E7" s="387">
        <f>'งบปี60 (1)'!G7</f>
        <v>2560</v>
      </c>
      <c r="F7" s="389"/>
      <c r="G7" s="387">
        <f>'งบปี60 (1)'!I7</f>
        <v>2559</v>
      </c>
    </row>
    <row r="8" spans="1:7" ht="20.85" customHeight="1">
      <c r="C8" s="464" t="str">
        <f>'C10'!A7</f>
        <v>เงินเดือนหุ้นส่วน</v>
      </c>
      <c r="D8" s="287"/>
      <c r="E8" s="384">
        <f>'C10'!G7</f>
        <v>0</v>
      </c>
      <c r="F8" s="389"/>
      <c r="G8" s="349">
        <f>'C10'!H7</f>
        <v>295000</v>
      </c>
    </row>
    <row r="9" spans="1:7" ht="21.75" customHeight="1">
      <c r="C9" s="464" t="str">
        <f>'C10'!A8</f>
        <v>รายจ่ายที่เกี่ยวข้องกับพนักงาน</v>
      </c>
      <c r="E9" s="384">
        <f>'C10'!G8</f>
        <v>1293449</v>
      </c>
      <c r="F9" s="144"/>
      <c r="G9" s="349">
        <f>'C10'!H8</f>
        <v>678050</v>
      </c>
    </row>
    <row r="10" spans="1:7" ht="21.75" customHeight="1">
      <c r="C10" s="464" t="str">
        <f>'C10'!A9</f>
        <v>ค่าน้ำมันและค่าใช้จ่ายยานพาหนะ</v>
      </c>
      <c r="E10" s="384">
        <f>'C10'!G9</f>
        <v>1594837.19</v>
      </c>
      <c r="F10" s="144"/>
      <c r="G10" s="349">
        <f>'C10'!H9</f>
        <v>1627152.94</v>
      </c>
    </row>
    <row r="11" spans="1:7" ht="21.75" customHeight="1">
      <c r="C11" s="464" t="str">
        <f>'C10'!A10</f>
        <v>ค่าเช่ารถ</v>
      </c>
      <c r="E11" s="384">
        <f>'C10'!G10</f>
        <v>240000</v>
      </c>
      <c r="F11" s="144"/>
      <c r="G11" s="349">
        <f>'C10'!H10</f>
        <v>240000</v>
      </c>
    </row>
    <row r="12" spans="1:7" ht="21.75" customHeight="1">
      <c r="C12" s="464" t="str">
        <f>'C10'!A11</f>
        <v>ค่าขนส่ง</v>
      </c>
      <c r="E12" s="384">
        <f>'C10'!G11</f>
        <v>4305029</v>
      </c>
      <c r="F12" s="144"/>
      <c r="G12" s="349">
        <f>'C10'!H11</f>
        <v>3679755</v>
      </c>
    </row>
    <row r="13" spans="1:7" ht="21.75" hidden="1" customHeight="1">
      <c r="C13" s="464">
        <f>'C10'!A12</f>
        <v>0</v>
      </c>
      <c r="E13" s="384">
        <f>'C10'!G12</f>
        <v>0</v>
      </c>
      <c r="F13" s="144"/>
      <c r="G13" s="349">
        <f>'C10'!H12</f>
        <v>0</v>
      </c>
    </row>
    <row r="14" spans="1:7" ht="21.75" customHeight="1">
      <c r="C14" s="464" t="str">
        <f>'C10'!A13</f>
        <v>ค่าเสื่อมราคา</v>
      </c>
      <c r="E14" s="384">
        <f>'C10'!G13</f>
        <v>340059.67</v>
      </c>
      <c r="F14" s="144"/>
      <c r="G14" s="349">
        <f>'C10'!H13</f>
        <v>201399.5</v>
      </c>
    </row>
    <row r="15" spans="1:7" ht="21.75" customHeight="1" thickBot="1">
      <c r="B15" s="515" t="s">
        <v>42</v>
      </c>
      <c r="C15" s="515"/>
      <c r="E15" s="485">
        <f>SUM(E8:E14)</f>
        <v>7773374.8599999994</v>
      </c>
      <c r="F15" s="144"/>
      <c r="G15" s="485">
        <f>SUM(G8:G14)</f>
        <v>6721357.4399999995</v>
      </c>
    </row>
    <row r="16" spans="1:7" ht="18.75" customHeight="1" thickTop="1">
      <c r="C16" s="288"/>
      <c r="E16" s="289"/>
      <c r="F16" s="290"/>
      <c r="G16" s="291"/>
    </row>
    <row r="17" spans="1:8" ht="21.75" hidden="1" customHeight="1">
      <c r="A17" s="358" t="s">
        <v>97</v>
      </c>
      <c r="E17" s="289"/>
      <c r="F17" s="290"/>
      <c r="G17" s="291"/>
    </row>
    <row r="18" spans="1:8" ht="21.75" hidden="1" customHeight="1">
      <c r="A18" s="358"/>
      <c r="E18" s="514" t="s">
        <v>221</v>
      </c>
      <c r="F18" s="514"/>
      <c r="G18" s="514"/>
    </row>
    <row r="19" spans="1:8" ht="21.75" hidden="1" customHeight="1">
      <c r="C19" s="287" t="s">
        <v>75</v>
      </c>
      <c r="E19" s="465">
        <v>2557</v>
      </c>
      <c r="F19" s="389"/>
      <c r="G19" s="465">
        <v>2556</v>
      </c>
    </row>
    <row r="20" spans="1:8" ht="21.75" hidden="1" customHeight="1">
      <c r="C20" s="288" t="str">
        <f>'C11'!A7</f>
        <v>ค่าคอมมิชชั่น</v>
      </c>
      <c r="E20" s="289">
        <f>'C11'!D7</f>
        <v>0</v>
      </c>
      <c r="F20" s="290"/>
      <c r="G20" s="291">
        <f>'C11'!H7</f>
        <v>0</v>
      </c>
    </row>
    <row r="21" spans="1:8" ht="21.75" hidden="1" customHeight="1">
      <c r="C21" s="288" t="str">
        <f>'C11'!A8</f>
        <v>ค่าโฆษณา</v>
      </c>
      <c r="E21" s="289">
        <f>'C11'!D8</f>
        <v>0</v>
      </c>
      <c r="F21" s="290"/>
      <c r="G21" s="291">
        <f>'C11'!H8</f>
        <v>0</v>
      </c>
    </row>
    <row r="22" spans="1:8" ht="21.75" hidden="1" customHeight="1">
      <c r="C22" s="288" t="str">
        <f>'C11'!A9</f>
        <v>ส่งเสริมการขาย</v>
      </c>
      <c r="E22" s="289">
        <f>'C11'!D9</f>
        <v>0</v>
      </c>
      <c r="F22" s="290"/>
      <c r="G22" s="291">
        <f>'C11'!H9</f>
        <v>0</v>
      </c>
    </row>
    <row r="23" spans="1:8" ht="21.75" hidden="1" customHeight="1">
      <c r="C23" s="288" t="str">
        <f>'C11'!A10</f>
        <v>ค่ารับรอง</v>
      </c>
      <c r="E23" s="289">
        <f>'C11'!D10</f>
        <v>0</v>
      </c>
      <c r="F23" s="290"/>
      <c r="G23" s="291">
        <f>'C11'!H10</f>
        <v>0</v>
      </c>
    </row>
    <row r="24" spans="1:8" ht="21.75" hidden="1" customHeight="1" thickBot="1">
      <c r="B24" s="358" t="s">
        <v>97</v>
      </c>
      <c r="C24" s="357"/>
      <c r="E24" s="398">
        <f>SUM(E20:E23)</f>
        <v>0</v>
      </c>
      <c r="F24" s="399"/>
      <c r="G24" s="400">
        <f>SUM(G20:G23)</f>
        <v>0</v>
      </c>
      <c r="H24" s="292"/>
    </row>
    <row r="25" spans="1:8" ht="21.75" customHeight="1">
      <c r="C25" s="357"/>
      <c r="E25" s="407"/>
      <c r="F25" s="399"/>
      <c r="G25" s="408"/>
      <c r="H25" s="292"/>
    </row>
    <row r="26" spans="1:8" ht="21.75" customHeight="1">
      <c r="C26" s="357"/>
      <c r="E26" s="407"/>
      <c r="F26" s="399"/>
      <c r="G26" s="408"/>
      <c r="H26" s="292"/>
    </row>
    <row r="27" spans="1:8" ht="21.75" customHeight="1">
      <c r="C27" s="357"/>
      <c r="E27" s="407"/>
      <c r="F27" s="399"/>
      <c r="G27" s="408"/>
      <c r="H27" s="292"/>
    </row>
    <row r="28" spans="1:8" ht="21.75" customHeight="1">
      <c r="C28" s="357"/>
      <c r="E28" s="407"/>
      <c r="F28" s="399"/>
      <c r="G28" s="408"/>
      <c r="H28" s="292"/>
    </row>
    <row r="29" spans="1:8" ht="21.75" customHeight="1">
      <c r="A29" s="513" t="s">
        <v>76</v>
      </c>
      <c r="B29" s="513"/>
      <c r="C29" s="513"/>
      <c r="D29" s="513"/>
      <c r="E29" s="513"/>
      <c r="F29" s="513"/>
      <c r="G29" s="513"/>
      <c r="H29" s="292"/>
    </row>
    <row r="30" spans="1:8" ht="21.75" customHeight="1"/>
    <row r="31" spans="1:8" ht="21.75" customHeight="1"/>
    <row r="32" spans="1:8" ht="21.75" customHeight="1">
      <c r="A32" s="513" t="str">
        <f>'งบปี60 (1)'!A53:I53</f>
        <v>ลงชื่อ___________________________หุ้นส่วนผู้จัดการ</v>
      </c>
      <c r="B32" s="513"/>
      <c r="C32" s="513"/>
      <c r="D32" s="513"/>
      <c r="E32" s="513"/>
      <c r="F32" s="513"/>
      <c r="G32" s="513"/>
    </row>
    <row r="33" spans="1:7" ht="21.75" customHeight="1">
      <c r="A33" s="513" t="str">
        <f>'งบปี60 (1)'!A54:I54</f>
        <v xml:space="preserve"> ( นายไกรสร  แสงจันทร์ )</v>
      </c>
      <c r="B33" s="513"/>
      <c r="C33" s="513"/>
      <c r="D33" s="513"/>
      <c r="E33" s="513"/>
      <c r="F33" s="513"/>
      <c r="G33" s="513"/>
    </row>
    <row r="34" spans="1:7" ht="21.95" customHeight="1">
      <c r="C34" s="333"/>
      <c r="D34" s="333"/>
      <c r="E34" s="385"/>
      <c r="F34" s="333"/>
      <c r="G34" s="295"/>
    </row>
  </sheetData>
  <mergeCells count="6">
    <mergeCell ref="A29:G29"/>
    <mergeCell ref="A32:G32"/>
    <mergeCell ref="A33:G33"/>
    <mergeCell ref="E6:G6"/>
    <mergeCell ref="E18:G18"/>
    <mergeCell ref="B15:C15"/>
  </mergeCells>
  <pageMargins left="0.98425196850393704" right="0.27559055118110237" top="0.39370078740157483" bottom="0.39370078740157483" header="0.31496062992125984" footer="0.31496062992125984"/>
  <pageSetup paperSize="9" orientation="portrait" horizont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4"/>
  <sheetViews>
    <sheetView topLeftCell="A4" workbookViewId="0">
      <selection activeCell="E19" sqref="E19"/>
    </sheetView>
  </sheetViews>
  <sheetFormatPr defaultColWidth="9.140625" defaultRowHeight="21.95" customHeight="1"/>
  <cols>
    <col min="1" max="2" width="3.7109375" style="285" customWidth="1"/>
    <col min="3" max="3" width="50.140625" style="285" customWidth="1"/>
    <col min="4" max="4" width="2.140625" style="285" customWidth="1"/>
    <col min="5" max="5" width="15" style="285" customWidth="1"/>
    <col min="6" max="6" width="0.85546875" style="285" customWidth="1"/>
    <col min="7" max="7" width="15.140625" style="285" customWidth="1"/>
    <col min="8" max="8" width="12.28515625" style="285" customWidth="1"/>
    <col min="9" max="10" width="11" style="285" bestFit="1" customWidth="1"/>
    <col min="11" max="16384" width="9.140625" style="285"/>
  </cols>
  <sheetData>
    <row r="1" spans="1:10" ht="21.75" customHeight="1">
      <c r="A1" s="492" t="str">
        <f>'รายละเอียดประกอบงบ-1'!A1</f>
        <v>ห้างหุ้นส่วนจำกัด จรัญ อำภา ทรานสปอร์ต</v>
      </c>
      <c r="B1" s="492"/>
      <c r="C1" s="492"/>
      <c r="D1" s="492"/>
      <c r="E1" s="492"/>
      <c r="F1" s="492"/>
      <c r="G1" s="492"/>
    </row>
    <row r="2" spans="1:10" ht="21.75" customHeight="1">
      <c r="A2" s="492" t="s">
        <v>178</v>
      </c>
      <c r="D2" s="492"/>
      <c r="E2" s="492"/>
      <c r="F2" s="492"/>
      <c r="G2" s="492"/>
    </row>
    <row r="3" spans="1:10" ht="21.75" customHeight="1">
      <c r="A3" s="492" t="str">
        <f>+'งบปี60 (2)'!A3</f>
        <v>สำหรับปีสิ้นสุดวันที่ 31 ธันวาคม 2560</v>
      </c>
      <c r="D3" s="492"/>
      <c r="E3" s="492"/>
      <c r="F3" s="492"/>
      <c r="G3" s="492"/>
    </row>
    <row r="4" spans="1:10" ht="21.75" customHeight="1">
      <c r="C4" s="481"/>
      <c r="D4" s="481"/>
      <c r="E4" s="481"/>
      <c r="F4" s="481"/>
      <c r="G4" s="481"/>
    </row>
    <row r="5" spans="1:10" ht="21.75" customHeight="1">
      <c r="A5" s="456" t="s">
        <v>98</v>
      </c>
      <c r="E5" s="517"/>
      <c r="F5" s="517"/>
      <c r="G5" s="517"/>
      <c r="J5" s="292"/>
    </row>
    <row r="6" spans="1:10" ht="20.85" customHeight="1">
      <c r="C6" s="457"/>
      <c r="E6" s="509" t="s">
        <v>221</v>
      </c>
      <c r="F6" s="509"/>
      <c r="G6" s="509"/>
      <c r="J6" s="292"/>
    </row>
    <row r="7" spans="1:10" ht="20.85" customHeight="1">
      <c r="C7" s="458" t="s">
        <v>75</v>
      </c>
      <c r="D7" s="458"/>
      <c r="E7" s="387">
        <f>'งบปี60 (1)'!G7</f>
        <v>2560</v>
      </c>
      <c r="F7" s="389"/>
      <c r="G7" s="387">
        <f>'งบปี60 (1)'!I7</f>
        <v>2559</v>
      </c>
    </row>
    <row r="8" spans="1:10" ht="20.85" customHeight="1">
      <c r="C8" s="460" t="str">
        <f>'C11'!A13</f>
        <v>ค่าใช้จ่ายพนักงาน</v>
      </c>
      <c r="D8" s="458"/>
      <c r="E8" s="461">
        <f>'C11'!G13</f>
        <v>60547</v>
      </c>
      <c r="F8" s="389"/>
      <c r="G8" s="500">
        <f>'C11'!H13</f>
        <v>180000</v>
      </c>
    </row>
    <row r="9" spans="1:10" ht="20.85" customHeight="1">
      <c r="C9" s="460" t="str">
        <f>'C11'!A14</f>
        <v>ค่าแบบฟอร์มพนักงาน</v>
      </c>
      <c r="D9" s="458"/>
      <c r="E9" s="461">
        <f>'C11'!G14</f>
        <v>3025</v>
      </c>
      <c r="F9" s="389"/>
      <c r="G9" s="462">
        <f>'C11'!H14</f>
        <v>11759</v>
      </c>
    </row>
    <row r="10" spans="1:10" ht="20.85" customHeight="1">
      <c r="C10" s="460" t="str">
        <f>'C11'!A15</f>
        <v>ค่าสวัสดิการอื่น</v>
      </c>
      <c r="D10" s="458"/>
      <c r="E10" s="461">
        <f>'C11'!G15</f>
        <v>33600</v>
      </c>
      <c r="F10" s="389"/>
      <c r="G10" s="462">
        <f>'C11'!H15</f>
        <v>20700</v>
      </c>
    </row>
    <row r="11" spans="1:10" ht="20.85" customHeight="1">
      <c r="C11" s="460" t="str">
        <f>'C11'!A16</f>
        <v>ค่าเครื่องเขียนแบบพิมพ์</v>
      </c>
      <c r="D11" s="458"/>
      <c r="E11" s="461">
        <f>'C11'!G16</f>
        <v>7011</v>
      </c>
      <c r="F11" s="459"/>
      <c r="G11" s="462">
        <f>'C11'!H16</f>
        <v>7573.9</v>
      </c>
    </row>
    <row r="12" spans="1:10" ht="21.75" hidden="1" customHeight="1">
      <c r="C12" s="460" t="str">
        <f>'C11'!A17</f>
        <v>ค่ารับรอง</v>
      </c>
      <c r="E12" s="461">
        <f>'C11'!G17</f>
        <v>0</v>
      </c>
      <c r="F12" s="459"/>
      <c r="G12" s="462">
        <f>'C11'!H17</f>
        <v>0</v>
      </c>
      <c r="H12" s="292"/>
    </row>
    <row r="13" spans="1:10" ht="21.75" customHeight="1">
      <c r="C13" s="460" t="str">
        <f>'C11'!A18</f>
        <v>ค่าบริการสอบบัญชี</v>
      </c>
      <c r="E13" s="461">
        <f>'C11'!G18</f>
        <v>9000</v>
      </c>
      <c r="F13" s="459"/>
      <c r="G13" s="462">
        <f>'C11'!H18</f>
        <v>8500</v>
      </c>
    </row>
    <row r="14" spans="1:10" ht="21.75" customHeight="1">
      <c r="C14" s="460" t="str">
        <f>'C11'!A19</f>
        <v>ค่าบริการวิชาชีพบัญชี</v>
      </c>
      <c r="E14" s="461">
        <f>'C11'!G19</f>
        <v>13000</v>
      </c>
      <c r="F14" s="459"/>
      <c r="G14" s="462">
        <f>'C11'!H19</f>
        <v>14400</v>
      </c>
    </row>
    <row r="15" spans="1:10" ht="21.75" customHeight="1">
      <c r="C15" s="460" t="str">
        <f>'C11'!A21</f>
        <v>ค่าซ่อมแซม</v>
      </c>
      <c r="E15" s="461">
        <f>'C11'!G21</f>
        <v>0</v>
      </c>
      <c r="F15" s="459"/>
      <c r="G15" s="462">
        <f>'C11'!H21</f>
        <v>5840.22</v>
      </c>
    </row>
    <row r="16" spans="1:10" ht="21.75" customHeight="1">
      <c r="C16" s="460" t="str">
        <f>'C11'!A22</f>
        <v>ค่าธรรมเนียมธนาคาร</v>
      </c>
      <c r="E16" s="461">
        <f>'C11'!G22</f>
        <v>39.49</v>
      </c>
      <c r="F16" s="459"/>
      <c r="G16" s="462">
        <f>'C11'!H22</f>
        <v>0</v>
      </c>
    </row>
    <row r="17" spans="1:9" ht="21.75" customHeight="1">
      <c r="C17" s="460" t="str">
        <f>'C11'!A23</f>
        <v>ค่าเช่าที่ดิน</v>
      </c>
      <c r="E17" s="461">
        <f>'C11'!G23</f>
        <v>63000</v>
      </c>
      <c r="F17" s="459"/>
      <c r="G17" s="462">
        <f>'C11'!H23</f>
        <v>60000</v>
      </c>
      <c r="H17" s="292"/>
    </row>
    <row r="18" spans="1:9" ht="21.75" customHeight="1">
      <c r="C18" s="460" t="str">
        <f>'C11'!A24</f>
        <v>ค่าสาธารณูปโภค</v>
      </c>
      <c r="E18" s="461">
        <f>'C11'!G24</f>
        <v>53894.909999999996</v>
      </c>
      <c r="F18" s="459"/>
      <c r="G18" s="462">
        <f>'C11'!H24</f>
        <v>2136</v>
      </c>
      <c r="H18" s="292"/>
    </row>
    <row r="19" spans="1:9" ht="21.75" customHeight="1">
      <c r="C19" s="460" t="str">
        <f>'C11'!A25</f>
        <v>ค่าใช้จ่ายเบ็ดเตล็ด</v>
      </c>
      <c r="E19" s="461">
        <f>'C11'!G25</f>
        <v>39353.79</v>
      </c>
      <c r="F19" s="459"/>
      <c r="G19" s="462">
        <f>'C11'!H25</f>
        <v>36214.33</v>
      </c>
      <c r="H19" s="292"/>
    </row>
    <row r="20" spans="1:9" ht="21.75" customHeight="1">
      <c r="C20" s="460" t="str">
        <f>'C11'!A26</f>
        <v>ค่าเสื่อมราคา</v>
      </c>
      <c r="E20" s="461">
        <f>'C11'!G26</f>
        <v>22572.42</v>
      </c>
      <c r="F20" s="459"/>
      <c r="G20" s="462">
        <f>'C11'!H26</f>
        <v>15833.2</v>
      </c>
      <c r="H20" s="292"/>
    </row>
    <row r="21" spans="1:9" ht="21.75" customHeight="1">
      <c r="C21" s="460" t="str">
        <f>'C11'!A27</f>
        <v>ค่าเบี้ยประกันยานพาหนะ</v>
      </c>
      <c r="E21" s="461">
        <f>'C11'!G27</f>
        <v>62051.16</v>
      </c>
      <c r="F21" s="459"/>
      <c r="G21" s="462">
        <f>'C11'!H27</f>
        <v>4816</v>
      </c>
      <c r="H21" s="292"/>
    </row>
    <row r="22" spans="1:9" ht="21.75" hidden="1" customHeight="1">
      <c r="C22" s="460" t="str">
        <f>'C11'!A28</f>
        <v>ค่าภาษียานพาหนะ</v>
      </c>
      <c r="E22" s="461">
        <f>'C11'!G28</f>
        <v>0</v>
      </c>
      <c r="F22" s="459"/>
      <c r="G22" s="462">
        <f>'C11'!H28</f>
        <v>0</v>
      </c>
      <c r="H22" s="292"/>
    </row>
    <row r="23" spans="1:9" ht="21.75" hidden="1" customHeight="1">
      <c r="C23" s="460" t="str">
        <f>'C11'!A29</f>
        <v>ค่าบริการอื่น</v>
      </c>
      <c r="E23" s="461">
        <f>'C11'!G29</f>
        <v>220</v>
      </c>
      <c r="F23" s="459"/>
      <c r="G23" s="462">
        <f>'C11'!H29</f>
        <v>0</v>
      </c>
      <c r="H23" s="292"/>
    </row>
    <row r="24" spans="1:9" ht="21.75" customHeight="1">
      <c r="C24" s="460" t="str">
        <f>'C11'!A30</f>
        <v>รายจ่ายต้องห้าม</v>
      </c>
      <c r="E24" s="461">
        <f>'C11'!G30</f>
        <v>4009.36</v>
      </c>
      <c r="F24" s="459"/>
      <c r="G24" s="462">
        <f>'C11'!H30</f>
        <v>0</v>
      </c>
      <c r="H24" s="292"/>
    </row>
    <row r="25" spans="1:9" s="456" customFormat="1" ht="21.75" customHeight="1" thickBot="1">
      <c r="B25" s="515" t="s">
        <v>42</v>
      </c>
      <c r="C25" s="515"/>
      <c r="D25" s="463"/>
      <c r="E25" s="362">
        <f>SUM(E8:E24)</f>
        <v>371324.13</v>
      </c>
      <c r="F25" s="463">
        <f>SUM(F13:F17)</f>
        <v>0</v>
      </c>
      <c r="G25" s="362">
        <f>SUM(G8:G24)</f>
        <v>367772.65</v>
      </c>
      <c r="H25" s="359"/>
      <c r="I25" s="359"/>
    </row>
    <row r="26" spans="1:9" s="456" customFormat="1" ht="21.75" customHeight="1" thickTop="1">
      <c r="D26" s="463"/>
      <c r="E26" s="463"/>
      <c r="F26" s="463"/>
      <c r="G26" s="463"/>
      <c r="H26" s="359"/>
      <c r="I26" s="359"/>
    </row>
    <row r="27" spans="1:9" s="456" customFormat="1" ht="21.75" customHeight="1">
      <c r="D27" s="463"/>
      <c r="E27" s="463"/>
      <c r="F27" s="463"/>
      <c r="G27" s="463"/>
      <c r="H27" s="359"/>
      <c r="I27" s="359"/>
    </row>
    <row r="28" spans="1:9" s="456" customFormat="1" ht="21.75" customHeight="1">
      <c r="D28" s="463"/>
      <c r="E28" s="463"/>
      <c r="F28" s="463"/>
      <c r="G28" s="463"/>
      <c r="H28" s="359"/>
      <c r="I28" s="359"/>
    </row>
    <row r="29" spans="1:9" ht="21.75" customHeight="1">
      <c r="C29" s="516" t="s">
        <v>76</v>
      </c>
      <c r="D29" s="516"/>
      <c r="E29" s="516"/>
      <c r="F29" s="516"/>
      <c r="G29" s="516"/>
      <c r="H29" s="292"/>
    </row>
    <row r="30" spans="1:9" ht="20.85" customHeight="1"/>
    <row r="31" spans="1:9" ht="20.85" customHeight="1">
      <c r="H31" s="292"/>
    </row>
    <row r="32" spans="1:9" ht="21.75" customHeight="1">
      <c r="A32" s="516" t="str">
        <f>'รายละเอียดประกอบงบ-1'!A32:G32</f>
        <v>ลงชื่อ___________________________หุ้นส่วนผู้จัดการ</v>
      </c>
      <c r="B32" s="516"/>
      <c r="C32" s="516"/>
      <c r="D32" s="516"/>
      <c r="E32" s="516"/>
      <c r="F32" s="516"/>
      <c r="G32" s="516"/>
    </row>
    <row r="33" spans="1:7" ht="21.75" customHeight="1">
      <c r="A33" s="516" t="str">
        <f>'รายละเอียดประกอบงบ-1'!A33:G33</f>
        <v xml:space="preserve"> ( นายไกรสร  แสงจันทร์ )</v>
      </c>
      <c r="B33" s="516"/>
      <c r="C33" s="516"/>
      <c r="D33" s="516"/>
      <c r="E33" s="516"/>
      <c r="F33" s="516"/>
      <c r="G33" s="516"/>
    </row>
    <row r="34" spans="1:7" ht="21.95" customHeight="1">
      <c r="C34" s="295"/>
      <c r="D34" s="295"/>
      <c r="E34" s="295"/>
      <c r="F34" s="295"/>
      <c r="G34" s="295"/>
    </row>
  </sheetData>
  <mergeCells count="6">
    <mergeCell ref="A32:G32"/>
    <mergeCell ref="A33:G33"/>
    <mergeCell ref="C29:G29"/>
    <mergeCell ref="E5:G5"/>
    <mergeCell ref="E6:G6"/>
    <mergeCell ref="B25:C25"/>
  </mergeCells>
  <phoneticPr fontId="0" type="noConversion"/>
  <pageMargins left="0.98425196850393704" right="0.27559055118110198" top="0.39370078740157499" bottom="0.39370078740157499" header="0.31496062992126" footer="0.31496062992126"/>
  <pageSetup paperSize="9" orientation="portrait" horizont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2"/>
  <sheetViews>
    <sheetView workbookViewId="0">
      <selection activeCell="F16" sqref="F16"/>
    </sheetView>
  </sheetViews>
  <sheetFormatPr defaultColWidth="9.140625" defaultRowHeight="21.95" customHeight="1"/>
  <cols>
    <col min="1" max="1" width="56.140625" style="246" customWidth="1"/>
    <col min="2" max="2" width="2.140625" style="246" customWidth="1"/>
    <col min="3" max="3" width="15" style="285" customWidth="1"/>
    <col min="4" max="4" width="0.85546875" style="246" customWidth="1"/>
    <col min="5" max="5" width="15.140625" style="285" customWidth="1"/>
    <col min="6" max="6" width="12.28515625" style="285" customWidth="1"/>
    <col min="7" max="8" width="11" style="246" bestFit="1" customWidth="1"/>
    <col min="9" max="16384" width="9.140625" style="246"/>
  </cols>
  <sheetData>
    <row r="1" spans="1:8" ht="21.75" customHeight="1">
      <c r="A1" s="518" t="e">
        <f>+'งบปี60 (2)'!#REF!</f>
        <v>#REF!</v>
      </c>
      <c r="B1" s="518"/>
      <c r="C1" s="518"/>
      <c r="D1" s="518"/>
      <c r="E1" s="518"/>
    </row>
    <row r="2" spans="1:8" ht="21.75" customHeight="1">
      <c r="A2" s="518" t="s">
        <v>178</v>
      </c>
      <c r="B2" s="518"/>
      <c r="C2" s="518"/>
      <c r="D2" s="518"/>
      <c r="E2" s="518"/>
    </row>
    <row r="3" spans="1:8" ht="21.75" customHeight="1">
      <c r="A3" s="518" t="str">
        <f>+'งบปี60 (2)'!A3</f>
        <v>สำหรับปีสิ้นสุดวันที่ 31 ธันวาคม 2560</v>
      </c>
      <c r="B3" s="518"/>
      <c r="C3" s="518"/>
      <c r="D3" s="518"/>
      <c r="E3" s="518"/>
    </row>
    <row r="4" spans="1:8" ht="21.75" customHeight="1">
      <c r="A4" s="358" t="s">
        <v>98</v>
      </c>
      <c r="C4" s="519"/>
      <c r="D4" s="519"/>
      <c r="E4" s="519"/>
      <c r="H4" s="294"/>
    </row>
    <row r="5" spans="1:8" ht="20.85" customHeight="1">
      <c r="A5" s="286"/>
      <c r="C5" s="520" t="s">
        <v>221</v>
      </c>
      <c r="D5" s="520"/>
      <c r="E5" s="520"/>
      <c r="H5" s="294"/>
    </row>
    <row r="6" spans="1:8" ht="20.85" customHeight="1">
      <c r="A6" s="287" t="s">
        <v>75</v>
      </c>
      <c r="B6" s="287"/>
      <c r="C6" s="410">
        <v>2555</v>
      </c>
      <c r="D6" s="388"/>
      <c r="E6" s="387">
        <v>2554</v>
      </c>
    </row>
    <row r="7" spans="1:8" ht="20.85" customHeight="1">
      <c r="A7" s="427" t="s">
        <v>233</v>
      </c>
      <c r="B7" s="287"/>
      <c r="C7" s="430">
        <f>+'C11'!G14+'C11'!G16+'C11'!G17+'C11'!G18</f>
        <v>19036</v>
      </c>
      <c r="D7" s="388"/>
      <c r="E7" s="428">
        <f>+'C11'!H14+'C11'!H18</f>
        <v>20259</v>
      </c>
    </row>
    <row r="8" spans="1:8" ht="21.75" customHeight="1">
      <c r="A8" s="288" t="str">
        <f>+'C11'!A15</f>
        <v>ค่าสวัสดิการอื่น</v>
      </c>
      <c r="C8" s="431">
        <f>'C11'!G15</f>
        <v>33600</v>
      </c>
      <c r="D8" s="290"/>
      <c r="E8" s="289">
        <f>'C11'!H15</f>
        <v>20700</v>
      </c>
      <c r="F8" s="429">
        <f>SUM(C7:C8)</f>
        <v>52636</v>
      </c>
    </row>
    <row r="9" spans="1:8" ht="21.75" customHeight="1">
      <c r="A9" s="288" t="str">
        <f>+'C11'!A19</f>
        <v>ค่าบริการวิชาชีพบัญชี</v>
      </c>
      <c r="C9" s="411">
        <f>'C11'!G19</f>
        <v>13000</v>
      </c>
      <c r="D9" s="290"/>
      <c r="E9" s="289">
        <f>'C11'!H19</f>
        <v>14400</v>
      </c>
    </row>
    <row r="10" spans="1:8" ht="21.75" customHeight="1">
      <c r="A10" s="288" t="str">
        <f>+'C11'!A22</f>
        <v>ค่าธรรมเนียมธนาคาร</v>
      </c>
      <c r="C10" s="411">
        <f>'C11'!G22</f>
        <v>39.49</v>
      </c>
      <c r="D10" s="290"/>
      <c r="E10" s="289">
        <f>'C11'!H22</f>
        <v>0</v>
      </c>
    </row>
    <row r="11" spans="1:8" ht="21.75" customHeight="1">
      <c r="A11" s="288" t="str">
        <f>+'C11'!A25</f>
        <v>ค่าใช้จ่ายเบ็ดเตล็ด</v>
      </c>
      <c r="C11" s="411">
        <f>'C11'!G25</f>
        <v>39353.79</v>
      </c>
      <c r="D11" s="290"/>
      <c r="E11" s="289">
        <f>'C11'!H25</f>
        <v>36214.33</v>
      </c>
    </row>
    <row r="12" spans="1:8" ht="21.75" customHeight="1">
      <c r="A12" s="288" t="str">
        <f>+'C11'!A26</f>
        <v>ค่าเสื่อมราคา</v>
      </c>
      <c r="C12" s="411">
        <f>'C11'!G26</f>
        <v>22572.42</v>
      </c>
      <c r="D12" s="290"/>
      <c r="E12" s="289">
        <f>'C11'!H26</f>
        <v>15833.2</v>
      </c>
    </row>
    <row r="13" spans="1:8" ht="21.75" customHeight="1">
      <c r="A13" s="288" t="str">
        <f>+'C11'!A27</f>
        <v>ค่าเบี้ยประกันยานพาหนะ</v>
      </c>
      <c r="C13" s="411">
        <f>'C11'!G27</f>
        <v>62051.16</v>
      </c>
      <c r="D13" s="290"/>
      <c r="E13" s="289">
        <f>'C11'!H27</f>
        <v>4816</v>
      </c>
    </row>
    <row r="14" spans="1:8" ht="21.75" customHeight="1">
      <c r="A14" s="288" t="str">
        <f>+'C11'!A28</f>
        <v>ค่าภาษียานพาหนะ</v>
      </c>
      <c r="C14" s="433">
        <f>'C11'!G28</f>
        <v>0</v>
      </c>
      <c r="D14" s="290"/>
      <c r="E14" s="289">
        <f>'C11'!H28</f>
        <v>0</v>
      </c>
      <c r="F14" s="292"/>
    </row>
    <row r="15" spans="1:8" ht="21.75" customHeight="1">
      <c r="A15" s="288" t="str">
        <f>+'C11'!A29</f>
        <v>ค่าบริการอื่น</v>
      </c>
      <c r="C15" s="433">
        <f>'C11'!G29</f>
        <v>220</v>
      </c>
      <c r="D15" s="290"/>
      <c r="E15" s="289">
        <f>'C11'!H29</f>
        <v>0</v>
      </c>
      <c r="F15" s="432">
        <f>SUM(C14:C15)</f>
        <v>220</v>
      </c>
    </row>
    <row r="16" spans="1:8" ht="21.75" customHeight="1">
      <c r="A16" s="288" t="str">
        <f>+'C11'!A30</f>
        <v>รายจ่ายต้องห้าม</v>
      </c>
      <c r="C16" s="431">
        <f>'C11'!G30</f>
        <v>4009.36</v>
      </c>
      <c r="D16" s="290"/>
      <c r="E16" s="289">
        <f>'C11'!H30</f>
        <v>0</v>
      </c>
      <c r="F16" s="432">
        <f>+C16</f>
        <v>4009.36</v>
      </c>
      <c r="G16" s="294"/>
    </row>
    <row r="17" spans="1:8" ht="21.75" customHeight="1">
      <c r="A17" s="288">
        <f>+'C11'!A31</f>
        <v>0</v>
      </c>
      <c r="C17" s="431">
        <f>'C11'!G31</f>
        <v>0</v>
      </c>
      <c r="D17" s="290"/>
      <c r="E17" s="289">
        <f>'C11'!H31</f>
        <v>0</v>
      </c>
      <c r="F17" s="292">
        <f>+C17</f>
        <v>0</v>
      </c>
    </row>
    <row r="18" spans="1:8" ht="21.75" customHeight="1">
      <c r="A18" s="288">
        <f>+'C11'!A32</f>
        <v>0</v>
      </c>
      <c r="C18" s="411">
        <f>'C11'!G32</f>
        <v>0</v>
      </c>
      <c r="D18" s="290"/>
      <c r="E18" s="289">
        <f>'C11'!H32</f>
        <v>0</v>
      </c>
      <c r="F18" s="292"/>
      <c r="G18" s="294"/>
    </row>
    <row r="19" spans="1:8" ht="21.95" customHeight="1">
      <c r="A19" s="288">
        <f>+'C11'!A33</f>
        <v>0</v>
      </c>
      <c r="C19" s="411">
        <f>'C11'!G33</f>
        <v>0</v>
      </c>
      <c r="D19" s="290"/>
      <c r="E19" s="289">
        <f>'C11'!H33</f>
        <v>0</v>
      </c>
      <c r="F19" s="292"/>
    </row>
    <row r="20" spans="1:8" ht="21.75" customHeight="1">
      <c r="A20" s="288">
        <f>+'C11'!A34</f>
        <v>0</v>
      </c>
      <c r="C20" s="411">
        <f>'C11'!G34</f>
        <v>0</v>
      </c>
      <c r="D20" s="290"/>
      <c r="E20" s="289">
        <f>'C11'!H34</f>
        <v>0</v>
      </c>
      <c r="F20" s="293"/>
      <c r="H20" s="294"/>
    </row>
    <row r="21" spans="1:8" ht="21.75" customHeight="1">
      <c r="A21" s="288">
        <f>+'C11'!A35</f>
        <v>0</v>
      </c>
      <c r="C21" s="433">
        <f>'C11'!G35</f>
        <v>0</v>
      </c>
      <c r="D21" s="290"/>
      <c r="E21" s="289">
        <f>'C11'!H35</f>
        <v>0</v>
      </c>
      <c r="F21" s="432">
        <f>+C21</f>
        <v>0</v>
      </c>
    </row>
    <row r="22" spans="1:8" ht="21.75" customHeight="1">
      <c r="A22" s="288">
        <f>+'C11'!A36</f>
        <v>0</v>
      </c>
      <c r="C22" s="433">
        <f>'C11'!G36</f>
        <v>0</v>
      </c>
      <c r="D22" s="290"/>
      <c r="E22" s="289">
        <f>'C11'!H36</f>
        <v>0</v>
      </c>
      <c r="F22" s="432">
        <f>SUM(C22)</f>
        <v>0</v>
      </c>
      <c r="G22" s="434">
        <f>+F15+F22</f>
        <v>220</v>
      </c>
    </row>
    <row r="23" spans="1:8" ht="21.75" customHeight="1">
      <c r="A23" s="288">
        <f>+'C11'!A37</f>
        <v>0</v>
      </c>
      <c r="C23" s="431">
        <f>'C11'!G37</f>
        <v>0</v>
      </c>
      <c r="D23" s="290"/>
      <c r="E23" s="289">
        <f>'C11'!H37</f>
        <v>0</v>
      </c>
      <c r="F23" s="432">
        <f>+C23</f>
        <v>0</v>
      </c>
    </row>
    <row r="24" spans="1:8" ht="21.75" customHeight="1">
      <c r="A24" s="288">
        <f>+'C11'!A38</f>
        <v>0</v>
      </c>
      <c r="C24" s="431">
        <f>'C11'!G38</f>
        <v>0</v>
      </c>
      <c r="D24" s="290"/>
      <c r="E24" s="289">
        <f>'C11'!H38</f>
        <v>0</v>
      </c>
      <c r="F24" s="432">
        <f>+C24</f>
        <v>0</v>
      </c>
    </row>
    <row r="25" spans="1:8" ht="21.75" customHeight="1">
      <c r="A25" s="288">
        <f>+'C11'!A39</f>
        <v>0</v>
      </c>
      <c r="C25" s="431">
        <f>'C11'!G39</f>
        <v>0</v>
      </c>
      <c r="D25" s="290"/>
      <c r="E25" s="289">
        <f>'C11'!H39</f>
        <v>0</v>
      </c>
      <c r="F25" s="432">
        <f>+C25</f>
        <v>0</v>
      </c>
    </row>
    <row r="26" spans="1:8" ht="21.75" customHeight="1">
      <c r="A26" s="288">
        <f>+'C11'!A40</f>
        <v>0</v>
      </c>
      <c r="C26" s="431">
        <f>'C11'!G40</f>
        <v>0</v>
      </c>
      <c r="D26" s="290"/>
      <c r="E26" s="289">
        <f>'C11'!H40</f>
        <v>0</v>
      </c>
      <c r="F26" s="432">
        <f>+C26</f>
        <v>0</v>
      </c>
    </row>
    <row r="27" spans="1:8" ht="21.75" customHeight="1">
      <c r="A27" s="288">
        <f>+'C11'!A41</f>
        <v>0</v>
      </c>
      <c r="C27" s="431">
        <f>'C11'!G41</f>
        <v>0</v>
      </c>
      <c r="D27" s="290"/>
      <c r="E27" s="289">
        <f>'C11'!H41</f>
        <v>0</v>
      </c>
      <c r="F27" s="432">
        <f>+C27</f>
        <v>0</v>
      </c>
    </row>
    <row r="28" spans="1:8" ht="21.75" customHeight="1">
      <c r="A28" s="288">
        <f>+'C11'!A42</f>
        <v>0</v>
      </c>
      <c r="C28" s="411">
        <f>'C11'!G42</f>
        <v>0</v>
      </c>
      <c r="D28" s="290"/>
      <c r="E28" s="289">
        <f>'C11'!H42</f>
        <v>0</v>
      </c>
    </row>
    <row r="29" spans="1:8" ht="21.75" customHeight="1">
      <c r="A29" s="288">
        <f>+'C11'!A43</f>
        <v>0</v>
      </c>
      <c r="C29" s="411">
        <f>'C11'!G43</f>
        <v>0</v>
      </c>
      <c r="D29" s="290"/>
      <c r="E29" s="289">
        <f>'C11'!H43</f>
        <v>0</v>
      </c>
    </row>
    <row r="30" spans="1:8" ht="21.75" customHeight="1">
      <c r="A30" s="288">
        <f>+'C11'!A44</f>
        <v>0</v>
      </c>
      <c r="C30" s="411">
        <f>'C11'!G44</f>
        <v>0</v>
      </c>
      <c r="D30" s="290"/>
      <c r="E30" s="289">
        <f>'C11'!H44</f>
        <v>0</v>
      </c>
    </row>
    <row r="31" spans="1:8" ht="21.75" customHeight="1">
      <c r="A31" s="288">
        <f>+'C11'!A45</f>
        <v>0</v>
      </c>
      <c r="C31" s="411">
        <f>'C11'!G45</f>
        <v>0</v>
      </c>
      <c r="D31" s="290"/>
      <c r="E31" s="289">
        <f>'C11'!H45</f>
        <v>0</v>
      </c>
    </row>
    <row r="32" spans="1:8" ht="21.75" customHeight="1">
      <c r="A32" s="288">
        <f>+'C11'!A46</f>
        <v>0</v>
      </c>
      <c r="C32" s="411">
        <f>'C11'!G46</f>
        <v>0</v>
      </c>
      <c r="D32" s="290"/>
      <c r="E32" s="289">
        <f>'C11'!H46</f>
        <v>0</v>
      </c>
    </row>
    <row r="33" spans="1:7" ht="21.75" customHeight="1">
      <c r="A33" s="288">
        <f>+'C11'!A47</f>
        <v>0</v>
      </c>
      <c r="C33" s="411">
        <f>'C11'!G47</f>
        <v>0</v>
      </c>
      <c r="D33" s="290"/>
      <c r="E33" s="289">
        <f>'C11'!H47</f>
        <v>0</v>
      </c>
    </row>
    <row r="34" spans="1:7" ht="21.75" customHeight="1">
      <c r="A34" s="288">
        <f>+'C11'!A48</f>
        <v>0</v>
      </c>
      <c r="C34" s="411">
        <f>'C11'!G48</f>
        <v>0</v>
      </c>
      <c r="D34" s="290"/>
      <c r="E34" s="289">
        <f>'C11'!H48</f>
        <v>0</v>
      </c>
    </row>
    <row r="35" spans="1:7" ht="21.75" customHeight="1">
      <c r="A35" s="288">
        <f>+'C11'!A49</f>
        <v>0</v>
      </c>
      <c r="C35" s="411">
        <f>'C11'!G49</f>
        <v>0</v>
      </c>
      <c r="D35" s="290"/>
      <c r="E35" s="289">
        <f>'C11'!H49</f>
        <v>0</v>
      </c>
    </row>
    <row r="36" spans="1:7" s="358" customFormat="1" ht="21.75" customHeight="1" thickBot="1">
      <c r="A36" s="358" t="s">
        <v>98</v>
      </c>
      <c r="B36" s="361"/>
      <c r="C36" s="362">
        <f>SUM(C7:C35)</f>
        <v>193882.21999999997</v>
      </c>
      <c r="D36" s="361">
        <f>SUM(D9:D20)</f>
        <v>0</v>
      </c>
      <c r="E36" s="362">
        <f>SUM(E7:E35)</f>
        <v>112222.53</v>
      </c>
      <c r="F36" s="359">
        <f>SUM(F7:F34)</f>
        <v>56865.36</v>
      </c>
      <c r="G36" s="360"/>
    </row>
    <row r="37" spans="1:7" ht="21.75" customHeight="1" thickTop="1">
      <c r="A37" s="513" t="s">
        <v>76</v>
      </c>
      <c r="B37" s="513"/>
      <c r="C37" s="513"/>
      <c r="D37" s="513"/>
      <c r="E37" s="513"/>
      <c r="F37" s="292">
        <f>+C36-F36</f>
        <v>137016.85999999999</v>
      </c>
    </row>
    <row r="38" spans="1:7" ht="20.85" customHeight="1">
      <c r="F38" s="285">
        <v>761503.1</v>
      </c>
    </row>
    <row r="39" spans="1:7" ht="20.85" customHeight="1">
      <c r="F39" s="292">
        <f>SUM(F37:F38)</f>
        <v>898519.96</v>
      </c>
    </row>
    <row r="40" spans="1:7" ht="21.75" customHeight="1">
      <c r="A40" s="513" t="e">
        <f>+'งบปี60 (2)'!#REF!</f>
        <v>#REF!</v>
      </c>
      <c r="B40" s="513"/>
      <c r="C40" s="513"/>
      <c r="D40" s="513"/>
      <c r="E40" s="513"/>
    </row>
    <row r="41" spans="1:7" ht="21.75" customHeight="1">
      <c r="A41" s="513" t="e">
        <f>+'งบปี60 (2)'!#REF!</f>
        <v>#REF!</v>
      </c>
      <c r="B41" s="513"/>
      <c r="C41" s="513"/>
      <c r="D41" s="513"/>
      <c r="E41" s="513"/>
    </row>
    <row r="42" spans="1:7" ht="21.95" customHeight="1">
      <c r="A42" s="435"/>
      <c r="B42" s="435"/>
      <c r="C42" s="295"/>
      <c r="D42" s="435"/>
      <c r="E42" s="295"/>
    </row>
  </sheetData>
  <mergeCells count="8">
    <mergeCell ref="A40:E40"/>
    <mergeCell ref="A41:E41"/>
    <mergeCell ref="A1:E1"/>
    <mergeCell ref="A2:E2"/>
    <mergeCell ref="A3:E3"/>
    <mergeCell ref="C4:E4"/>
    <mergeCell ref="C5:E5"/>
    <mergeCell ref="A37:E37"/>
  </mergeCells>
  <pageMargins left="0.98425196850393704" right="0.27559055118110198" top="0.39370078740157499" bottom="0.39370078740157499" header="0.31496062992126" footer="0.31496062992126"/>
  <pageSetup paperSize="9" scale="9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L36"/>
  <sheetViews>
    <sheetView tabSelected="1" zoomScale="120" workbookViewId="0">
      <selection activeCell="G18" sqref="G18"/>
    </sheetView>
  </sheetViews>
  <sheetFormatPr defaultColWidth="9.140625" defaultRowHeight="21.75"/>
  <cols>
    <col min="1" max="1" width="5" style="52" customWidth="1"/>
    <col min="2" max="2" width="5.42578125" style="52" customWidth="1"/>
    <col min="3" max="3" width="3.5703125" style="52" customWidth="1"/>
    <col min="4" max="4" width="8" style="52" customWidth="1"/>
    <col min="5" max="5" width="7.5703125" style="52" customWidth="1"/>
    <col min="6" max="6" width="4.28515625" style="52" customWidth="1"/>
    <col min="7" max="7" width="15" style="52" customWidth="1"/>
    <col min="8" max="8" width="14.28515625" style="52" customWidth="1"/>
    <col min="9" max="9" width="14.140625" style="52" customWidth="1"/>
    <col min="10" max="10" width="1.7109375" style="52" customWidth="1"/>
    <col min="11" max="11" width="14.28515625" style="52" customWidth="1"/>
    <col min="12" max="12" width="2.42578125" style="52" customWidth="1"/>
    <col min="13" max="16384" width="9.140625" style="52"/>
  </cols>
  <sheetData>
    <row r="1" spans="1:12">
      <c r="A1" s="495" t="str">
        <f>'งบปี60 (1)'!A1:I1</f>
        <v>ห้างหุ้นส่วนจำกัด จรัญ อำภา ทรานสปอร์ต</v>
      </c>
      <c r="B1" s="495"/>
      <c r="C1" s="495"/>
      <c r="D1" s="495"/>
      <c r="E1" s="495"/>
      <c r="F1" s="495"/>
      <c r="G1" s="495"/>
      <c r="H1" s="495"/>
      <c r="I1" s="495"/>
      <c r="J1" s="495"/>
      <c r="K1" s="495"/>
      <c r="L1" s="495"/>
    </row>
    <row r="2" spans="1:12">
      <c r="A2" s="495" t="s">
        <v>74</v>
      </c>
      <c r="B2" s="495"/>
      <c r="C2" s="495"/>
      <c r="D2" s="495"/>
      <c r="E2" s="495"/>
      <c r="F2" s="495"/>
      <c r="G2" s="495"/>
      <c r="H2" s="495"/>
      <c r="I2" s="495"/>
      <c r="J2" s="495"/>
      <c r="K2" s="495"/>
      <c r="L2" s="495"/>
    </row>
    <row r="3" spans="1:12">
      <c r="A3" s="495" t="str">
        <f>'งบปี60 (2)'!A3</f>
        <v>สำหรับปีสิ้นสุดวันที่ 31 ธันวาคม 2560</v>
      </c>
      <c r="B3" s="495"/>
      <c r="C3" s="495"/>
      <c r="D3" s="495"/>
      <c r="E3" s="495"/>
      <c r="F3" s="495"/>
      <c r="G3" s="495"/>
      <c r="H3" s="495"/>
      <c r="I3" s="495"/>
      <c r="J3" s="495"/>
      <c r="K3" s="495"/>
      <c r="L3" s="495"/>
    </row>
    <row r="4" spans="1:12">
      <c r="B4" s="412"/>
    </row>
    <row r="5" spans="1:12">
      <c r="A5" s="413" t="s">
        <v>66</v>
      </c>
      <c r="C5" s="53"/>
    </row>
    <row r="6" spans="1:12">
      <c r="C6" s="53"/>
    </row>
    <row r="7" spans="1:12">
      <c r="B7" s="52" t="s">
        <v>70</v>
      </c>
      <c r="K7" s="127">
        <f>'wps&amp;wpl'!D64</f>
        <v>889909.01000000164</v>
      </c>
    </row>
    <row r="8" spans="1:12">
      <c r="B8" s="414" t="s">
        <v>82</v>
      </c>
      <c r="C8" s="52" t="s">
        <v>83</v>
      </c>
    </row>
    <row r="9" spans="1:12">
      <c r="B9" s="414"/>
      <c r="D9" s="52" t="str">
        <f>'wps&amp;wpl'!A66</f>
        <v>รายจ่ายต้องห้าม</v>
      </c>
      <c r="I9" s="415">
        <f>+'wps&amp;wpl'!C66</f>
        <v>4009.36</v>
      </c>
      <c r="J9" s="415"/>
      <c r="K9" s="127"/>
    </row>
    <row r="10" spans="1:12" hidden="1">
      <c r="B10" s="414"/>
      <c r="D10" s="52" t="str">
        <f>'wps&amp;wpl'!A67</f>
        <v>ค่ารับรอง</v>
      </c>
      <c r="I10" s="415">
        <f>+'wps&amp;wpl'!C67</f>
        <v>0</v>
      </c>
      <c r="J10" s="415"/>
      <c r="K10" s="127"/>
    </row>
    <row r="11" spans="1:12" hidden="1">
      <c r="B11" s="414"/>
      <c r="D11" s="52" t="str">
        <f>'wps&amp;wpl'!A68</f>
        <v>ค่าใช้จ่ายเบ็ดเตล็ด</v>
      </c>
      <c r="I11" s="415">
        <f>+'wps&amp;wpl'!C68</f>
        <v>0</v>
      </c>
      <c r="J11" s="415"/>
      <c r="K11" s="127"/>
    </row>
    <row r="12" spans="1:12" hidden="1">
      <c r="B12" s="414"/>
      <c r="D12" s="52" t="str">
        <f>'wps&amp;wpl'!A69</f>
        <v>ค่าธรรมเนียม</v>
      </c>
      <c r="I12" s="415">
        <f>+'wps&amp;wpl'!C69</f>
        <v>0</v>
      </c>
      <c r="J12" s="415"/>
      <c r="K12" s="127"/>
    </row>
    <row r="13" spans="1:12" hidden="1">
      <c r="B13" s="414"/>
      <c r="D13" s="52" t="str">
        <f>'wps&amp;wpl'!A70</f>
        <v>ต้นทุนทางการเงิน</v>
      </c>
      <c r="I13" s="415">
        <f>+'wps&amp;wpl'!C70</f>
        <v>0</v>
      </c>
      <c r="J13" s="415"/>
      <c r="K13" s="127"/>
    </row>
    <row r="14" spans="1:12" hidden="1">
      <c r="B14" s="414"/>
      <c r="D14" s="52" t="str">
        <f>'wps&amp;wpl'!A71</f>
        <v>ค่าซ่อมแซม</v>
      </c>
      <c r="I14" s="415">
        <f>+'wps&amp;wpl'!C71</f>
        <v>0</v>
      </c>
      <c r="J14" s="415"/>
    </row>
    <row r="15" spans="1:12">
      <c r="B15" s="414"/>
      <c r="D15" s="52" t="str">
        <f>'wps&amp;wpl'!A72</f>
        <v>ภาษีเงินได้นิติบุคคล</v>
      </c>
      <c r="I15" s="416">
        <f>+'wps&amp;wpl'!C72</f>
        <v>104809.13</v>
      </c>
      <c r="J15" s="415"/>
      <c r="K15" s="127">
        <f>SUM(I9:I15)</f>
        <v>108818.49</v>
      </c>
    </row>
    <row r="16" spans="1:12" ht="22.5" thickBot="1">
      <c r="C16" s="52" t="s">
        <v>84</v>
      </c>
      <c r="K16" s="417">
        <f>SUM(K7:K15)</f>
        <v>998727.50000000163</v>
      </c>
    </row>
    <row r="17" spans="1:11" ht="22.5" thickTop="1"/>
    <row r="18" spans="1:11">
      <c r="C18" s="413" t="s">
        <v>85</v>
      </c>
    </row>
    <row r="19" spans="1:11">
      <c r="C19" s="109" t="s">
        <v>68</v>
      </c>
      <c r="G19" s="109" t="s">
        <v>86</v>
      </c>
      <c r="H19" s="109" t="s">
        <v>87</v>
      </c>
      <c r="I19" s="109" t="s">
        <v>88</v>
      </c>
      <c r="J19" s="487"/>
    </row>
    <row r="20" spans="1:11">
      <c r="C20" s="52" t="s">
        <v>289</v>
      </c>
      <c r="G20" s="409">
        <v>0</v>
      </c>
      <c r="H20" s="418">
        <v>300000</v>
      </c>
      <c r="I20" s="418">
        <v>0</v>
      </c>
      <c r="J20" s="418"/>
    </row>
    <row r="21" spans="1:11">
      <c r="C21" s="52" t="s">
        <v>290</v>
      </c>
      <c r="G21" s="409">
        <v>15</v>
      </c>
      <c r="H21" s="419">
        <f>+K16-H20</f>
        <v>698727.50000000163</v>
      </c>
      <c r="I21" s="419">
        <f>+H21*G21%</f>
        <v>104809.12500000025</v>
      </c>
      <c r="J21" s="419"/>
    </row>
    <row r="22" spans="1:11" hidden="1">
      <c r="B22" s="521">
        <f>K16</f>
        <v>998727.50000000163</v>
      </c>
      <c r="C22" s="521"/>
      <c r="D22" s="521"/>
      <c r="G22" s="409">
        <v>20</v>
      </c>
      <c r="H22" s="419"/>
      <c r="I22" s="419">
        <f>+H22*G22%</f>
        <v>0</v>
      </c>
      <c r="J22" s="419"/>
    </row>
    <row r="23" spans="1:11" hidden="1">
      <c r="C23" s="420" t="s">
        <v>89</v>
      </c>
      <c r="G23" s="409">
        <v>30</v>
      </c>
      <c r="H23" s="419">
        <v>0</v>
      </c>
      <c r="I23" s="421">
        <v>0</v>
      </c>
      <c r="J23" s="496"/>
    </row>
    <row r="24" spans="1:11" ht="22.5" thickBot="1">
      <c r="D24" s="409" t="s">
        <v>42</v>
      </c>
      <c r="H24" s="422">
        <f>SUM(H20:H23)</f>
        <v>998727.50000000163</v>
      </c>
      <c r="I24" s="423">
        <f>SUM(I21:I23)</f>
        <v>104809.12500000025</v>
      </c>
      <c r="J24" s="344"/>
    </row>
    <row r="25" spans="1:11" ht="22.5" thickTop="1">
      <c r="B25" s="386"/>
      <c r="H25" s="419"/>
    </row>
    <row r="26" spans="1:11">
      <c r="B26" s="386" t="s">
        <v>90</v>
      </c>
      <c r="C26" s="52" t="s">
        <v>91</v>
      </c>
      <c r="H26" s="424">
        <f>'wps&amp;wpl'!C76</f>
        <v>0</v>
      </c>
      <c r="I26" s="51"/>
      <c r="J26" s="51"/>
    </row>
    <row r="27" spans="1:11">
      <c r="B27" s="386"/>
      <c r="C27" s="52" t="s">
        <v>180</v>
      </c>
      <c r="H27" s="425">
        <v>-104809.13</v>
      </c>
      <c r="I27" s="426">
        <f>SUM(H26:H27)</f>
        <v>-104809.13</v>
      </c>
      <c r="J27" s="426"/>
    </row>
    <row r="28" spans="1:11" ht="22.5" thickBot="1">
      <c r="C28" s="52" t="s">
        <v>183</v>
      </c>
      <c r="H28" s="51"/>
      <c r="I28" s="266">
        <f>SUM(I24:I27)</f>
        <v>-4.999999757274054E-3</v>
      </c>
      <c r="J28" s="497"/>
    </row>
    <row r="29" spans="1:11" ht="22.5" thickTop="1"/>
    <row r="32" spans="1:11">
      <c r="A32" s="504" t="s">
        <v>52</v>
      </c>
      <c r="B32" s="504"/>
      <c r="C32" s="504"/>
      <c r="D32" s="504"/>
      <c r="E32" s="504"/>
      <c r="F32" s="504"/>
      <c r="G32" s="504"/>
      <c r="H32" s="504"/>
      <c r="I32" s="504"/>
      <c r="J32" s="504"/>
      <c r="K32" s="504"/>
    </row>
    <row r="33" spans="1:12">
      <c r="A33" s="483"/>
      <c r="B33" s="483"/>
      <c r="C33" s="483"/>
      <c r="D33" s="483"/>
      <c r="E33" s="483"/>
      <c r="F33" s="483"/>
      <c r="G33" s="483"/>
      <c r="H33" s="483"/>
      <c r="I33" s="483"/>
      <c r="J33" s="486"/>
      <c r="K33" s="483"/>
    </row>
    <row r="34" spans="1:12" ht="22.5" customHeight="1"/>
    <row r="35" spans="1:12" ht="22.5" customHeight="1">
      <c r="A35" s="504" t="str">
        <f>'งบปี60 (1)'!A53:I53</f>
        <v>ลงชื่อ___________________________หุ้นส่วนผู้จัดการ</v>
      </c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499"/>
    </row>
    <row r="36" spans="1:12" ht="22.5" customHeight="1">
      <c r="A36" s="504" t="str">
        <f>'งบปี60 (1)'!A54:I54</f>
        <v xml:space="preserve"> ( นายไกรสร  แสงจันทร์ )</v>
      </c>
      <c r="B36" s="504"/>
      <c r="C36" s="504"/>
      <c r="D36" s="504"/>
      <c r="E36" s="504"/>
      <c r="F36" s="504"/>
      <c r="G36" s="504"/>
      <c r="H36" s="504"/>
      <c r="I36" s="504"/>
      <c r="J36" s="504"/>
      <c r="K36" s="504"/>
      <c r="L36" s="499"/>
    </row>
  </sheetData>
  <mergeCells count="4">
    <mergeCell ref="A32:K32"/>
    <mergeCell ref="B22:D22"/>
    <mergeCell ref="A35:K35"/>
    <mergeCell ref="A36:K36"/>
  </mergeCells>
  <phoneticPr fontId="0" type="noConversion"/>
  <pageMargins left="0.87" right="0.62" top="0.65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7</vt:i4>
      </vt:variant>
    </vt:vector>
  </HeadingPairs>
  <TitlesOfParts>
    <vt:vector size="41" baseType="lpstr">
      <vt:lpstr>รายการปรับปรุง</vt:lpstr>
      <vt:lpstr>งบแสดส่วนผู้ถือ</vt:lpstr>
      <vt:lpstr>รายการปรับปรุง (2)</vt:lpstr>
      <vt:lpstr>งบปี60 (1)</vt:lpstr>
      <vt:lpstr>งบปี60 (2)</vt:lpstr>
      <vt:lpstr>รายละเอียดประกอบงบ-1</vt:lpstr>
      <vt:lpstr>รายละเอียดประกอบงบ</vt:lpstr>
      <vt:lpstr>กรอกภงด.50</vt:lpstr>
      <vt:lpstr>ภาษี</vt:lpstr>
      <vt:lpstr>wps&amp;wpl</vt:lpstr>
      <vt:lpstr>C1.1</vt:lpstr>
      <vt:lpstr>C1.3</vt:lpstr>
      <vt:lpstr>C1.4</vt:lpstr>
      <vt:lpstr>C1.5</vt:lpstr>
      <vt:lpstr>C1.6</vt:lpstr>
      <vt:lpstr>C2.6</vt:lpstr>
      <vt:lpstr>C2.9</vt:lpstr>
      <vt:lpstr>C2.12</vt:lpstr>
      <vt:lpstr>C3.1</vt:lpstr>
      <vt:lpstr>C3.2</vt:lpstr>
      <vt:lpstr>C3.3</vt:lpstr>
      <vt:lpstr>C3.4</vt:lpstr>
      <vt:lpstr>C3.5</vt:lpstr>
      <vt:lpstr>C3.7</vt:lpstr>
      <vt:lpstr>C4</vt:lpstr>
      <vt:lpstr>C4.1</vt:lpstr>
      <vt:lpstr>C4.5</vt:lpstr>
      <vt:lpstr>C5</vt:lpstr>
      <vt:lpstr>C6.1</vt:lpstr>
      <vt:lpstr>C6.2</vt:lpstr>
      <vt:lpstr>C10</vt:lpstr>
      <vt:lpstr>C11</vt:lpstr>
      <vt:lpstr>Sheet1</vt:lpstr>
      <vt:lpstr>Sheet3</vt:lpstr>
      <vt:lpstr>'C11'!Print_Area</vt:lpstr>
      <vt:lpstr>กรอกภงด.50!Print_Area</vt:lpstr>
      <vt:lpstr>'งบปี60 (1)'!Print_Area</vt:lpstr>
      <vt:lpstr>'งบปี60 (2)'!Print_Area</vt:lpstr>
      <vt:lpstr>ภาษี!Print_Area</vt:lpstr>
      <vt:lpstr>รายละเอียดประกอบงบ!Print_Area</vt:lpstr>
      <vt:lpstr>'รายละเอียดประกอบงบ-1'!Print_Area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</dc:creator>
  <cp:lastModifiedBy>User</cp:lastModifiedBy>
  <cp:lastPrinted>2018-04-16T06:13:23Z</cp:lastPrinted>
  <dcterms:created xsi:type="dcterms:W3CDTF">2004-03-28T06:28:03Z</dcterms:created>
  <dcterms:modified xsi:type="dcterms:W3CDTF">2018-04-16T06:46:17Z</dcterms:modified>
</cp:coreProperties>
</file>