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07345EDC-709E-4260-B596-D469C40594E1}" xr6:coauthVersionLast="38" xr6:coauthVersionMax="38" xr10:uidLastSave="{00000000-0000-0000-0000-000000000000}"/>
  <bookViews>
    <workbookView xWindow="240" yWindow="105" windowWidth="14805" windowHeight="8010" tabRatio="887" firstSheet="5" activeTab="9" xr2:uid="{00000000-000D-0000-FFFF-FFFF00000000}"/>
  </bookViews>
  <sheets>
    <sheet name="นานายิ่งไพศาล" sheetId="1" r:id="rId1"/>
    <sheet name="เอ็มทีทวีทรัพย์" sheetId="6" r:id="rId2"/>
    <sheet name="โรงน้ำแข็งไทยวิบูลย์" sheetId="8" r:id="rId3"/>
    <sheet name="ชุมพล" sheetId="14" r:id="rId4"/>
    <sheet name="บ้านโพนมอเตอร์" sheetId="13" r:id="rId5"/>
    <sheet name="นวพร 1999" sheetId="7" r:id="rId6"/>
    <sheet name="นวทอง" sheetId="9" r:id="rId7"/>
    <sheet name="ลิ้มเคียนฮวด" sheetId="10" r:id="rId8"/>
    <sheet name="ห้างทองศรีฟ้า" sheetId="11" r:id="rId9"/>
    <sheet name="ทวีทรัพย์LPG สนญ." sheetId="4" r:id="rId10"/>
    <sheet name="จักรยานแก๊ส" sheetId="2" r:id="rId11"/>
    <sheet name="ทวีทรัพย์LPG สาขา" sheetId="5" r:id="rId12"/>
    <sheet name="โชคเจริญไพศาล" sheetId="3" r:id="rId13"/>
    <sheet name="รถบ้านบุญมาก" sheetId="12" r:id="rId14"/>
  </sheets>
  <definedNames>
    <definedName name="_xlnm.Print_Area" localSheetId="10">จักรยานแก๊ส!$A$1:$H$15</definedName>
    <definedName name="_xlnm.Print_Area" localSheetId="12">โชคเจริญไพศาล!$A$1:$H$14</definedName>
    <definedName name="_xlnm.Print_Area" localSheetId="9">'ทวีทรัพย์LPG สนญ.'!$A$1:$H$15</definedName>
    <definedName name="_xlnm.Print_Area" localSheetId="11">'ทวีทรัพย์LPG สาขา'!$A$1:$H$14</definedName>
    <definedName name="_xlnm.Print_Area" localSheetId="5">'นวพร 1999'!$A$1:$H$26</definedName>
    <definedName name="_xlnm.Print_Area" localSheetId="0">นานายิ่งไพศาล!$A$1:$H$17</definedName>
    <definedName name="_xlnm.Print_Area" localSheetId="13">รถบ้านบุญมาก!$A$1:$H$16</definedName>
    <definedName name="_xlnm.Print_Area" localSheetId="2">โรงน้ำแข็งไทยวิบูลย์!$A$1:$H$16</definedName>
    <definedName name="_xlnm.Print_Area" localSheetId="1">เอ็มทีทวีทรัพย์!$A$1:$H$23,เอ็มทีทวีทรัพย์!$A$25:$H$50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4" l="1"/>
  <c r="N17" i="14" l="1"/>
  <c r="M17" i="14"/>
  <c r="L17" i="14"/>
  <c r="J17" i="14"/>
  <c r="I17" i="14"/>
  <c r="F12" i="14"/>
  <c r="F14" i="14" s="1"/>
  <c r="D12" i="14"/>
  <c r="I12" i="14" s="1"/>
  <c r="J11" i="14"/>
  <c r="I11" i="14"/>
  <c r="J10" i="14"/>
  <c r="I10" i="14"/>
  <c r="J9" i="14"/>
  <c r="I9" i="14"/>
  <c r="J8" i="14"/>
  <c r="I8" i="14"/>
  <c r="J7" i="14"/>
  <c r="I7" i="14"/>
  <c r="J5" i="14"/>
  <c r="I5" i="14"/>
  <c r="L3" i="14"/>
  <c r="I3" i="14"/>
  <c r="J3" i="14" s="1"/>
  <c r="I1" i="8"/>
  <c r="D52" i="6" l="1"/>
  <c r="D13" i="6"/>
  <c r="T4" i="6"/>
  <c r="D12" i="1" l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D8" i="3" l="1"/>
  <c r="H52" i="3"/>
  <c r="N21" i="3" l="1"/>
  <c r="O52" i="3"/>
  <c r="O22" i="3"/>
  <c r="O23" i="3"/>
  <c r="P22" i="3"/>
  <c r="E70" i="3"/>
  <c r="D70" i="3"/>
  <c r="C70" i="3"/>
  <c r="D22" i="3"/>
  <c r="D16" i="2"/>
  <c r="O15" i="5" l="1"/>
  <c r="N15" i="5"/>
  <c r="N17" i="5"/>
  <c r="N18" i="5"/>
  <c r="N19" i="5"/>
  <c r="N16" i="5"/>
  <c r="O17" i="5"/>
  <c r="O18" i="5"/>
  <c r="O19" i="5"/>
  <c r="O16" i="5"/>
  <c r="M15" i="5"/>
  <c r="K1" i="8" l="1"/>
  <c r="L1" i="8" s="1"/>
  <c r="P8" i="6"/>
  <c r="Q8" i="6"/>
  <c r="R8" i="6"/>
  <c r="S8" i="6"/>
  <c r="T8" i="6"/>
  <c r="U8" i="6"/>
  <c r="O8" i="6"/>
  <c r="R7" i="6"/>
  <c r="R6" i="6"/>
  <c r="R5" i="6"/>
  <c r="P4" i="6"/>
  <c r="R4" i="6"/>
  <c r="R3" i="6"/>
  <c r="I25" i="1" l="1"/>
  <c r="C20" i="12" l="1"/>
  <c r="D5" i="12" s="1"/>
  <c r="D22" i="12"/>
  <c r="D23" i="12"/>
  <c r="D24" i="12"/>
  <c r="D25" i="12"/>
  <c r="D26" i="12"/>
  <c r="D27" i="12"/>
  <c r="D28" i="12"/>
  <c r="D29" i="12"/>
  <c r="D30" i="12"/>
  <c r="D31" i="12"/>
  <c r="D21" i="12"/>
  <c r="D20" i="12" l="1"/>
  <c r="L19" i="4"/>
  <c r="M21" i="4"/>
  <c r="M22" i="4"/>
  <c r="M23" i="4"/>
  <c r="M24" i="4"/>
  <c r="M25" i="4"/>
  <c r="M26" i="4"/>
  <c r="M27" i="4"/>
  <c r="M28" i="4"/>
  <c r="M29" i="4"/>
  <c r="M20" i="4"/>
  <c r="M19" i="4" l="1"/>
  <c r="U7" i="3"/>
  <c r="H55" i="3"/>
  <c r="D57" i="3"/>
  <c r="D56" i="3"/>
  <c r="D24" i="3" l="1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3" i="3"/>
  <c r="J20" i="8"/>
  <c r="L3" i="8"/>
  <c r="K20" i="8" l="1"/>
  <c r="L20" i="8" s="1"/>
  <c r="I51" i="6"/>
  <c r="I10" i="4" l="1"/>
  <c r="X11" i="3" l="1"/>
  <c r="O51" i="3"/>
  <c r="O30" i="3"/>
  <c r="D58" i="3"/>
  <c r="D39" i="3"/>
  <c r="D40" i="3"/>
  <c r="D41" i="3"/>
  <c r="D42" i="3"/>
  <c r="D43" i="3"/>
  <c r="D44" i="3"/>
  <c r="D45" i="3"/>
  <c r="D46" i="3"/>
  <c r="D47" i="3"/>
  <c r="D48" i="3"/>
  <c r="D49" i="3"/>
  <c r="D50" i="3"/>
  <c r="O25" i="3"/>
  <c r="A26" i="6" l="1"/>
  <c r="A32" i="6" s="1"/>
  <c r="F11" i="5" l="1"/>
  <c r="F13" i="5" s="1"/>
  <c r="K6" i="5"/>
  <c r="L6" i="5" s="1"/>
  <c r="C16" i="5" s="1"/>
  <c r="C18" i="5" s="1"/>
  <c r="D14" i="1" l="1"/>
  <c r="F14" i="1"/>
  <c r="B36" i="6" l="1"/>
  <c r="F36" i="6"/>
  <c r="B37" i="6"/>
  <c r="D37" i="6"/>
  <c r="F37" i="6"/>
  <c r="B38" i="6"/>
  <c r="D38" i="6"/>
  <c r="F38" i="6"/>
  <c r="B39" i="6"/>
  <c r="D39" i="6"/>
  <c r="F39" i="6"/>
  <c r="B40" i="6"/>
  <c r="F40" i="6"/>
  <c r="B41" i="6"/>
  <c r="D41" i="6"/>
  <c r="F41" i="6"/>
  <c r="B42" i="6"/>
  <c r="D42" i="6"/>
  <c r="F42" i="6"/>
  <c r="B43" i="6"/>
  <c r="D43" i="6"/>
  <c r="F43" i="6"/>
  <c r="B44" i="6"/>
  <c r="D44" i="6"/>
  <c r="F44" i="6"/>
  <c r="B45" i="6"/>
  <c r="D45" i="6"/>
  <c r="F45" i="6"/>
  <c r="B46" i="6"/>
  <c r="D46" i="6"/>
  <c r="F46" i="6"/>
  <c r="B47" i="6"/>
  <c r="D47" i="6"/>
  <c r="F47" i="6"/>
  <c r="I18" i="6"/>
  <c r="J18" i="6"/>
  <c r="I17" i="6"/>
  <c r="J17" i="6"/>
  <c r="J13" i="6"/>
  <c r="I13" i="6"/>
  <c r="D36" i="6"/>
  <c r="O50" i="3" l="1"/>
  <c r="O53" i="3"/>
  <c r="W17" i="3" s="1"/>
  <c r="O54" i="3"/>
  <c r="O28" i="3"/>
  <c r="H56" i="3"/>
  <c r="C25" i="3"/>
  <c r="I7" i="5" l="1"/>
  <c r="N5" i="5"/>
  <c r="N4" i="5"/>
  <c r="N5" i="4"/>
  <c r="N4" i="4"/>
  <c r="I3" i="8" l="1"/>
  <c r="J3" i="8" s="1"/>
  <c r="F20" i="6" l="1"/>
  <c r="F22" i="6" s="1"/>
  <c r="E18" i="1" l="1"/>
  <c r="F11" i="3" l="1"/>
  <c r="O34" i="3"/>
  <c r="B63" i="3"/>
  <c r="I25" i="3"/>
  <c r="O32" i="3"/>
  <c r="O26" i="3"/>
  <c r="O27" i="3"/>
  <c r="I52" i="3"/>
  <c r="C26" i="3"/>
  <c r="E26" i="3" s="1"/>
  <c r="I27" i="3"/>
  <c r="P27" i="3" s="1"/>
  <c r="C27" i="3"/>
  <c r="E27" i="3" s="1"/>
  <c r="I50" i="3"/>
  <c r="I51" i="3"/>
  <c r="J51" i="3" s="1"/>
  <c r="C50" i="3"/>
  <c r="E50" i="3" s="1"/>
  <c r="C51" i="3"/>
  <c r="E51" i="3" s="1"/>
  <c r="E25" i="3"/>
  <c r="J27" i="3" l="1"/>
  <c r="Q27" i="3"/>
  <c r="P51" i="3"/>
  <c r="Q51" i="3" s="1"/>
  <c r="J50" i="3"/>
  <c r="P50" i="3"/>
  <c r="Q50" i="3" s="1"/>
  <c r="J52" i="3"/>
  <c r="P52" i="3"/>
  <c r="Q52" i="3" s="1"/>
  <c r="J25" i="3"/>
  <c r="P25" i="3"/>
  <c r="Q25" i="3" s="1"/>
  <c r="C52" i="3"/>
  <c r="E52" i="3" s="1"/>
  <c r="N3" i="5"/>
  <c r="N2" i="5"/>
  <c r="N1" i="5"/>
  <c r="N1" i="4"/>
  <c r="C25" i="4"/>
  <c r="B35" i="6" l="1"/>
  <c r="E20" i="1" l="1"/>
  <c r="I9" i="12" l="1"/>
  <c r="J9" i="12"/>
  <c r="I10" i="12"/>
  <c r="J10" i="12"/>
  <c r="I11" i="12"/>
  <c r="J11" i="12"/>
  <c r="I12" i="12"/>
  <c r="J12" i="12"/>
  <c r="N3" i="4" l="1"/>
  <c r="N2" i="4"/>
  <c r="C24" i="5"/>
  <c r="F24" i="5"/>
  <c r="X22" i="3" l="1"/>
  <c r="X21" i="3"/>
  <c r="Z21" i="3" s="1"/>
  <c r="Q22" i="3"/>
  <c r="X12" i="3"/>
  <c r="V5" i="3"/>
  <c r="W3" i="3"/>
  <c r="V4" i="3"/>
  <c r="W4" i="3" s="1"/>
  <c r="W5" i="3" l="1"/>
  <c r="W10" i="3"/>
  <c r="X10" i="3" s="1"/>
  <c r="Z22" i="3"/>
  <c r="AA22" i="3" s="1"/>
  <c r="AA21" i="3"/>
  <c r="X23" i="3"/>
  <c r="O24" i="3"/>
  <c r="O29" i="3"/>
  <c r="O31" i="3"/>
  <c r="O33" i="3"/>
  <c r="O35" i="3"/>
  <c r="O36" i="3"/>
  <c r="O37" i="3"/>
  <c r="O39" i="3"/>
  <c r="O40" i="3"/>
  <c r="O41" i="3"/>
  <c r="O42" i="3"/>
  <c r="O43" i="3"/>
  <c r="O44" i="3"/>
  <c r="O45" i="3"/>
  <c r="O46" i="3"/>
  <c r="O48" i="3"/>
  <c r="O49" i="3"/>
  <c r="O47" i="3"/>
  <c r="O38" i="3"/>
  <c r="H62" i="3"/>
  <c r="I24" i="3"/>
  <c r="I26" i="3"/>
  <c r="P26" i="3" s="1"/>
  <c r="Q26" i="3" s="1"/>
  <c r="I28" i="3"/>
  <c r="I29" i="3"/>
  <c r="I30" i="3"/>
  <c r="I31" i="3"/>
  <c r="I32" i="3"/>
  <c r="P32" i="3" s="1"/>
  <c r="Q32" i="3" s="1"/>
  <c r="I33" i="3"/>
  <c r="I34" i="3"/>
  <c r="P34" i="3" s="1"/>
  <c r="Q34" i="3" s="1"/>
  <c r="I35" i="3"/>
  <c r="I36" i="3"/>
  <c r="I37" i="3"/>
  <c r="P37" i="3" s="1"/>
  <c r="I38" i="3"/>
  <c r="P38" i="3" s="1"/>
  <c r="I39" i="3"/>
  <c r="I40" i="3"/>
  <c r="I41" i="3"/>
  <c r="I42" i="3"/>
  <c r="P42" i="3" s="1"/>
  <c r="I43" i="3"/>
  <c r="I44" i="3"/>
  <c r="I45" i="3"/>
  <c r="I46" i="3"/>
  <c r="P46" i="3" s="1"/>
  <c r="I47" i="3"/>
  <c r="P47" i="3" s="1"/>
  <c r="I48" i="3"/>
  <c r="I49" i="3"/>
  <c r="I53" i="3"/>
  <c r="P53" i="3" s="1"/>
  <c r="Q53" i="3" s="1"/>
  <c r="I54" i="3"/>
  <c r="I23" i="3"/>
  <c r="I22" i="3"/>
  <c r="J22" i="3" s="1"/>
  <c r="O21" i="3" l="1"/>
  <c r="J42" i="3"/>
  <c r="Q42" i="3"/>
  <c r="J47" i="3"/>
  <c r="J46" i="3"/>
  <c r="Q46" i="3"/>
  <c r="J49" i="3"/>
  <c r="P49" i="3"/>
  <c r="Q49" i="3" s="1"/>
  <c r="J33" i="3"/>
  <c r="P33" i="3"/>
  <c r="Q33" i="3" s="1"/>
  <c r="J29" i="3"/>
  <c r="P29" i="3"/>
  <c r="Q29" i="3" s="1"/>
  <c r="P23" i="3"/>
  <c r="Q23" i="3" s="1"/>
  <c r="J23" i="3"/>
  <c r="J48" i="3"/>
  <c r="P48" i="3"/>
  <c r="Q48" i="3" s="1"/>
  <c r="J44" i="3"/>
  <c r="P44" i="3"/>
  <c r="Q44" i="3" s="1"/>
  <c r="J40" i="3"/>
  <c r="P40" i="3"/>
  <c r="Q40" i="3" s="1"/>
  <c r="J36" i="3"/>
  <c r="P36" i="3"/>
  <c r="Q36" i="3" s="1"/>
  <c r="J28" i="3"/>
  <c r="P28" i="3"/>
  <c r="Q28" i="3" s="1"/>
  <c r="Q37" i="3"/>
  <c r="J54" i="3"/>
  <c r="P54" i="3"/>
  <c r="Q54" i="3" s="1"/>
  <c r="J43" i="3"/>
  <c r="P43" i="3"/>
  <c r="Q43" i="3" s="1"/>
  <c r="J39" i="3"/>
  <c r="P39" i="3"/>
  <c r="Q39" i="3" s="1"/>
  <c r="J35" i="3"/>
  <c r="P35" i="3"/>
  <c r="Q35" i="3" s="1"/>
  <c r="J31" i="3"/>
  <c r="P31" i="3"/>
  <c r="Q31" i="3" s="1"/>
  <c r="Q47" i="3"/>
  <c r="J45" i="3"/>
  <c r="P45" i="3"/>
  <c r="Q45" i="3" s="1"/>
  <c r="J41" i="3"/>
  <c r="P41" i="3"/>
  <c r="Q41" i="3" s="1"/>
  <c r="T7" i="3"/>
  <c r="J37" i="3"/>
  <c r="J30" i="3"/>
  <c r="P30" i="3"/>
  <c r="Q30" i="3" s="1"/>
  <c r="J24" i="3"/>
  <c r="P24" i="3"/>
  <c r="Q24" i="3" s="1"/>
  <c r="X17" i="3"/>
  <c r="Q38" i="3"/>
  <c r="X15" i="3"/>
  <c r="X16" i="3"/>
  <c r="J53" i="3"/>
  <c r="J32" i="3"/>
  <c r="J26" i="3"/>
  <c r="H64" i="3"/>
  <c r="J38" i="3"/>
  <c r="J34" i="3"/>
  <c r="X14" i="3"/>
  <c r="X18" i="3"/>
  <c r="J55" i="3" l="1"/>
  <c r="K55" i="3" s="1"/>
  <c r="V6" i="3"/>
  <c r="W13" i="3" s="1"/>
  <c r="Z18" i="3" s="1"/>
  <c r="P21" i="3"/>
  <c r="Q55" i="3"/>
  <c r="D29" i="6"/>
  <c r="F29" i="6"/>
  <c r="X13" i="3" l="1"/>
  <c r="Z19" i="3" s="1"/>
  <c r="D40" i="6"/>
  <c r="X19" i="3"/>
  <c r="V29" i="3" s="1"/>
  <c r="W6" i="3"/>
  <c r="W7" i="3" s="1"/>
  <c r="V7" i="3"/>
  <c r="J6" i="2"/>
  <c r="K6" i="2"/>
  <c r="H16" i="2"/>
  <c r="V28" i="3" l="1"/>
  <c r="V26" i="3" s="1"/>
  <c r="N17" i="13"/>
  <c r="M17" i="13"/>
  <c r="L17" i="13"/>
  <c r="J17" i="13"/>
  <c r="I17" i="13"/>
  <c r="F12" i="13"/>
  <c r="F14" i="13" s="1"/>
  <c r="D12" i="13"/>
  <c r="I12" i="13" s="1"/>
  <c r="J11" i="13"/>
  <c r="I11" i="13"/>
  <c r="J10" i="13"/>
  <c r="I10" i="13"/>
  <c r="J9" i="13"/>
  <c r="I9" i="13"/>
  <c r="J8" i="13"/>
  <c r="I8" i="13"/>
  <c r="J7" i="13"/>
  <c r="I7" i="13"/>
  <c r="J5" i="13"/>
  <c r="I5" i="13"/>
  <c r="L3" i="13"/>
  <c r="I3" i="13"/>
  <c r="J3" i="13" s="1"/>
  <c r="H24" i="5" l="1"/>
  <c r="G24" i="5"/>
  <c r="E24" i="5"/>
  <c r="D24" i="5"/>
  <c r="D11" i="5"/>
  <c r="I11" i="5" s="1"/>
  <c r="I10" i="5"/>
  <c r="I9" i="5"/>
  <c r="I8" i="5"/>
  <c r="I6" i="5"/>
  <c r="H25" i="4"/>
  <c r="F25" i="4"/>
  <c r="G25" i="4"/>
  <c r="E25" i="4"/>
  <c r="D25" i="4"/>
  <c r="M5" i="5" l="1"/>
  <c r="O5" i="5" s="1"/>
  <c r="M4" i="5"/>
  <c r="O4" i="5" s="1"/>
  <c r="M3" i="5"/>
  <c r="O3" i="5" s="1"/>
  <c r="M2" i="5"/>
  <c r="O2" i="5" s="1"/>
  <c r="H18" i="5"/>
  <c r="C61" i="3"/>
  <c r="E61" i="3" s="1"/>
  <c r="C59" i="3"/>
  <c r="E59" i="3" s="1"/>
  <c r="C58" i="3"/>
  <c r="E58" i="3" s="1"/>
  <c r="M6" i="5" l="1"/>
  <c r="O6" i="5" s="1"/>
  <c r="I18" i="5"/>
  <c r="M1" i="5"/>
  <c r="O1" i="5" s="1"/>
  <c r="P6" i="5" s="1"/>
  <c r="P7" i="5" s="1"/>
  <c r="D7" i="2"/>
  <c r="F7" i="2"/>
  <c r="I16" i="2"/>
  <c r="J16" i="2" s="1"/>
  <c r="M7" i="5" l="1"/>
  <c r="M18" i="12"/>
  <c r="P8" i="5" l="1"/>
  <c r="L18" i="12"/>
  <c r="N18" i="12"/>
  <c r="J18" i="12"/>
  <c r="D8" i="12" s="1"/>
  <c r="I18" i="12"/>
  <c r="D7" i="12" s="1"/>
  <c r="I7" i="12" s="1"/>
  <c r="F13" i="12"/>
  <c r="F15" i="12" s="1"/>
  <c r="J5" i="12"/>
  <c r="I5" i="12"/>
  <c r="L3" i="12"/>
  <c r="I3" i="12"/>
  <c r="J3" i="12" s="1"/>
  <c r="J7" i="12" l="1"/>
  <c r="D13" i="12"/>
  <c r="I13" i="12" s="1"/>
  <c r="I8" i="12"/>
  <c r="J8" i="12"/>
  <c r="I5" i="5"/>
  <c r="M49" i="6" l="1"/>
  <c r="D7" i="6" s="1"/>
  <c r="I15" i="6"/>
  <c r="J15" i="6"/>
  <c r="L7" i="6" l="1"/>
  <c r="D7" i="9"/>
  <c r="D20" i="6" l="1"/>
  <c r="D48" i="6" s="1"/>
  <c r="C62" i="3"/>
  <c r="F49" i="2" l="1"/>
  <c r="M3" i="2" l="1"/>
  <c r="M4" i="2"/>
  <c r="J88" i="6"/>
  <c r="K88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 s="1"/>
  <c r="J86" i="6"/>
  <c r="K86" i="6" s="1"/>
  <c r="J87" i="6"/>
  <c r="K87" i="6" s="1"/>
  <c r="D13" i="11" l="1"/>
  <c r="F13" i="11" s="1"/>
  <c r="D7" i="11"/>
  <c r="D9" i="11" s="1"/>
  <c r="F9" i="11" s="1"/>
  <c r="D13" i="10"/>
  <c r="F13" i="10" s="1"/>
  <c r="D7" i="10"/>
  <c r="D9" i="10" s="1"/>
  <c r="F9" i="10" s="1"/>
  <c r="F15" i="10" l="1"/>
  <c r="F15" i="11"/>
  <c r="D9" i="9"/>
  <c r="C23" i="3" l="1"/>
  <c r="C24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5" i="3"/>
  <c r="C56" i="3"/>
  <c r="C57" i="3"/>
  <c r="E62" i="3"/>
  <c r="C22" i="3"/>
  <c r="C63" i="3" l="1"/>
  <c r="C68" i="3" s="1"/>
  <c r="E22" i="3"/>
  <c r="E22" i="1"/>
  <c r="F22" i="1" s="1"/>
  <c r="F23" i="1"/>
  <c r="X26" i="3" l="1"/>
  <c r="N52" i="6"/>
  <c r="O52" i="6" s="1"/>
  <c r="N53" i="6"/>
  <c r="O53" i="6" s="1"/>
  <c r="N54" i="6"/>
  <c r="O54" i="6" s="1"/>
  <c r="N55" i="6"/>
  <c r="O55" i="6" s="1"/>
  <c r="N56" i="6"/>
  <c r="O56" i="6" s="1"/>
  <c r="N57" i="6"/>
  <c r="O57" i="6" s="1"/>
  <c r="N58" i="6"/>
  <c r="O58" i="6" s="1"/>
  <c r="N51" i="6"/>
  <c r="O51" i="6" s="1"/>
  <c r="O49" i="6" l="1"/>
  <c r="N49" i="6"/>
  <c r="D13" i="9" l="1"/>
  <c r="F13" i="9" s="1"/>
  <c r="F9" i="9"/>
  <c r="F15" i="9" l="1"/>
  <c r="J5" i="8"/>
  <c r="M11" i="6" l="1"/>
  <c r="M12" i="6" s="1"/>
  <c r="C24" i="1" l="1"/>
  <c r="E21" i="1"/>
  <c r="F21" i="1" s="1"/>
  <c r="D11" i="3" l="1"/>
  <c r="J10" i="8" l="1"/>
  <c r="I10" i="8"/>
  <c r="D13" i="8" l="1"/>
  <c r="D18" i="8" s="1"/>
  <c r="F13" i="8"/>
  <c r="J11" i="8"/>
  <c r="I11" i="8"/>
  <c r="I12" i="8" l="1"/>
  <c r="J9" i="8"/>
  <c r="I9" i="8"/>
  <c r="J12" i="8"/>
  <c r="J8" i="8"/>
  <c r="J7" i="8"/>
  <c r="I5" i="8"/>
  <c r="I8" i="8"/>
  <c r="I7" i="8"/>
  <c r="F15" i="8"/>
  <c r="I13" i="8"/>
  <c r="E57" i="3" l="1"/>
  <c r="D23" i="7" l="1"/>
  <c r="F23" i="7" s="1"/>
  <c r="F25" i="7" s="1"/>
  <c r="D19" i="7"/>
  <c r="F19" i="7" s="1"/>
  <c r="D11" i="7"/>
  <c r="F11" i="7" s="1"/>
  <c r="D7" i="7"/>
  <c r="F7" i="7" s="1"/>
  <c r="F13" i="7" l="1"/>
  <c r="E56" i="3" l="1"/>
  <c r="E55" i="3"/>
  <c r="J8" i="1" l="1"/>
  <c r="J9" i="1"/>
  <c r="J10" i="1"/>
  <c r="J11" i="1"/>
  <c r="J12" i="1"/>
  <c r="J13" i="1"/>
  <c r="J7" i="1"/>
  <c r="J5" i="1"/>
  <c r="J5" i="6" l="1"/>
  <c r="E23" i="3" l="1"/>
  <c r="K6" i="4"/>
  <c r="L6" i="4" s="1"/>
  <c r="C17" i="4" s="1"/>
  <c r="G19" i="4" l="1"/>
  <c r="C19" i="4"/>
  <c r="F19" i="4"/>
  <c r="M4" i="4" s="1"/>
  <c r="O4" i="4" s="1"/>
  <c r="E19" i="4"/>
  <c r="M3" i="4" s="1"/>
  <c r="O3" i="4" s="1"/>
  <c r="D19" i="4"/>
  <c r="M5" i="4"/>
  <c r="O5" i="4" s="1"/>
  <c r="M2" i="4"/>
  <c r="O2" i="4" s="1"/>
  <c r="H19" i="4"/>
  <c r="M6" i="4" s="1"/>
  <c r="O6" i="4" s="1"/>
  <c r="J19" i="6"/>
  <c r="I19" i="6"/>
  <c r="J76" i="6"/>
  <c r="K76" i="6" s="1"/>
  <c r="J75" i="6"/>
  <c r="K75" i="6" s="1"/>
  <c r="J74" i="6"/>
  <c r="K74" i="6" s="1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/>
  <c r="K64" i="6" s="1"/>
  <c r="J63" i="6"/>
  <c r="K63" i="6" s="1"/>
  <c r="J16" i="6"/>
  <c r="I16" i="6"/>
  <c r="I19" i="4" l="1"/>
  <c r="M1" i="4"/>
  <c r="O1" i="4" s="1"/>
  <c r="P6" i="4" s="1"/>
  <c r="P7" i="4" s="1"/>
  <c r="M7" i="4" l="1"/>
  <c r="P8" i="4"/>
  <c r="J14" i="1"/>
  <c r="F35" i="6" l="1"/>
  <c r="D35" i="6"/>
  <c r="E52" i="6"/>
  <c r="D53" i="6"/>
  <c r="E53" i="6" s="1"/>
  <c r="D54" i="6"/>
  <c r="E54" i="6" s="1"/>
  <c r="D55" i="6"/>
  <c r="E55" i="6" s="1"/>
  <c r="F48" i="6"/>
  <c r="J14" i="6"/>
  <c r="I14" i="6"/>
  <c r="J9" i="6"/>
  <c r="I9" i="6"/>
  <c r="J12" i="6"/>
  <c r="J11" i="6"/>
  <c r="J10" i="6"/>
  <c r="I10" i="6"/>
  <c r="I12" i="6"/>
  <c r="J20" i="6" l="1"/>
  <c r="J62" i="6"/>
  <c r="K62" i="6" s="1"/>
  <c r="J61" i="6"/>
  <c r="K61" i="6" s="1"/>
  <c r="J60" i="6"/>
  <c r="K60" i="6" s="1"/>
  <c r="J59" i="6"/>
  <c r="K59" i="6" s="1"/>
  <c r="J58" i="6"/>
  <c r="K58" i="6" s="1"/>
  <c r="J57" i="6"/>
  <c r="K57" i="6" s="1"/>
  <c r="J56" i="6"/>
  <c r="K56" i="6" s="1"/>
  <c r="J55" i="6"/>
  <c r="K55" i="6" s="1"/>
  <c r="J54" i="6"/>
  <c r="K54" i="6" s="1"/>
  <c r="J53" i="6"/>
  <c r="K53" i="6" s="1"/>
  <c r="J52" i="6"/>
  <c r="J51" i="6" l="1"/>
  <c r="K52" i="6"/>
  <c r="K51" i="6" s="1"/>
  <c r="R25" i="1" l="1"/>
  <c r="R27" i="1" s="1"/>
  <c r="S21" i="1"/>
  <c r="S25" i="1" s="1"/>
  <c r="S27" i="1" s="1"/>
  <c r="O25" i="1"/>
  <c r="O27" i="1" s="1"/>
  <c r="N25" i="1"/>
  <c r="N27" i="1" s="1"/>
  <c r="P23" i="1" l="1"/>
  <c r="P25" i="1" l="1"/>
  <c r="P27" i="1" s="1"/>
  <c r="N29" i="1" s="1"/>
  <c r="Q23" i="1"/>
  <c r="Q25" i="1" s="1"/>
  <c r="Q27" i="1"/>
  <c r="E54" i="3"/>
  <c r="O17" i="1" l="1"/>
  <c r="N17" i="1"/>
  <c r="J8" i="6" l="1"/>
  <c r="J25" i="1" l="1"/>
  <c r="E19" i="1"/>
  <c r="F19" i="1" s="1"/>
  <c r="F20" i="1"/>
  <c r="E24" i="1" l="1"/>
  <c r="F24" i="1" s="1"/>
  <c r="F18" i="1"/>
  <c r="K8" i="2"/>
  <c r="K5" i="2"/>
  <c r="C88" i="6" l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 l="1"/>
  <c r="E88" i="6"/>
  <c r="I12" i="1" l="1"/>
  <c r="E24" i="3" l="1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3" i="3"/>
  <c r="E63" i="3" l="1"/>
  <c r="J5" i="2"/>
  <c r="X28" i="3" l="1"/>
  <c r="X29" i="3" s="1"/>
  <c r="F63" i="3"/>
  <c r="K25" i="1"/>
  <c r="D24" i="1"/>
  <c r="I10" i="1"/>
  <c r="N4" i="2" l="1"/>
  <c r="O4" i="2" s="1"/>
  <c r="N3" i="2"/>
  <c r="N5" i="2" l="1"/>
  <c r="O3" i="2"/>
  <c r="J7" i="6"/>
  <c r="I5" i="1" l="1"/>
  <c r="I9" i="1"/>
  <c r="J3" i="3" l="1"/>
  <c r="F12" i="2"/>
  <c r="F14" i="2" s="1"/>
  <c r="D12" i="2"/>
  <c r="I11" i="6" l="1"/>
  <c r="I8" i="6"/>
  <c r="I7" i="6"/>
  <c r="I5" i="6"/>
  <c r="I6" i="4" l="1"/>
  <c r="I7" i="4"/>
  <c r="I8" i="4"/>
  <c r="I9" i="4"/>
  <c r="I11" i="4"/>
  <c r="I5" i="4"/>
  <c r="F12" i="4"/>
  <c r="F14" i="4" s="1"/>
  <c r="D12" i="4"/>
  <c r="I12" i="4" s="1"/>
  <c r="J6" i="3"/>
  <c r="J7" i="3"/>
  <c r="J8" i="3"/>
  <c r="J9" i="3"/>
  <c r="J10" i="3"/>
  <c r="J5" i="3"/>
  <c r="F13" i="3"/>
  <c r="J11" i="3"/>
  <c r="J7" i="2"/>
  <c r="J8" i="2"/>
  <c r="J9" i="2"/>
  <c r="J10" i="2"/>
  <c r="J11" i="2"/>
  <c r="J12" i="2"/>
  <c r="L24" i="1" l="1"/>
  <c r="F16" i="1"/>
  <c r="I7" i="1"/>
  <c r="I8" i="1"/>
  <c r="I11" i="1"/>
  <c r="I13" i="1"/>
  <c r="I14" i="1" l="1"/>
</calcChain>
</file>

<file path=xl/sharedStrings.xml><?xml version="1.0" encoding="utf-8"?>
<sst xmlns="http://schemas.openxmlformats.org/spreadsheetml/2006/main" count="299" uniqueCount="109">
  <si>
    <t>ขาย</t>
  </si>
  <si>
    <t>ค่าน้ำมัน</t>
  </si>
  <si>
    <t>รวม ซื้อ</t>
  </si>
  <si>
    <t>ชำระ</t>
  </si>
  <si>
    <t>ยอด</t>
  </si>
  <si>
    <t>ภาษี</t>
  </si>
  <si>
    <t>รายการ</t>
  </si>
  <si>
    <t>ร้านกาฬสินธุ์จักรยานแก๊ส</t>
  </si>
  <si>
    <t>ซื้อ</t>
  </si>
  <si>
    <t>ค่าไฟฟ้า</t>
  </si>
  <si>
    <t>ค่าน้ำมันเชื้อเพลิง</t>
  </si>
  <si>
    <t>หจก.โชคเจริญไพศาล</t>
  </si>
  <si>
    <t>บจก.เอ็มทีทวีทรัพย์</t>
  </si>
  <si>
    <t>น้ำถ้วยนานา</t>
  </si>
  <si>
    <t>เฉลี่ยภาษี</t>
  </si>
  <si>
    <t>อะไหล่ซ่อมแซม</t>
  </si>
  <si>
    <t>ค่าบรรจุภัณฑ์</t>
  </si>
  <si>
    <t>หจก.นานายิ่งไพศาล</t>
  </si>
  <si>
    <t>ค่าซ่อมบำรุงยานพาหนะ</t>
  </si>
  <si>
    <t>คงเหลือ</t>
  </si>
  <si>
    <t>ยกมา</t>
  </si>
  <si>
    <t>ค่าโทรศัพท์</t>
  </si>
  <si>
    <t>ค่าผ่อนรถยนต์</t>
  </si>
  <si>
    <t>ค่าน้ำประปา</t>
  </si>
  <si>
    <t>วัสดุสิ้นเปลืองสำนักงาน</t>
  </si>
  <si>
    <t>ค่าใช้จ่ายเบ็ดเตล็ด</t>
  </si>
  <si>
    <t>บจก.ทวีทรัพย์ แอล พี จี (สาขา)</t>
  </si>
  <si>
    <t>บจก.ทวีทรัพย์ แอล พี จี (สนญ.)</t>
  </si>
  <si>
    <t>บจก.นวพร 1999</t>
  </si>
  <si>
    <t>สุทธิ</t>
  </si>
  <si>
    <t>สำนักงานใหญ่</t>
  </si>
  <si>
    <t>หักรับซื้อคืน</t>
  </si>
  <si>
    <t>สำนักงานสาขา 1</t>
  </si>
  <si>
    <t>โรงน้ำแข็งไทยวิบูลย์</t>
  </si>
  <si>
    <t>ค่าอะไหล่ซ่อมแซมยานพาหนะ</t>
  </si>
  <si>
    <t xml:space="preserve"> </t>
  </si>
  <si>
    <t>สารเคมีและวัตถุดิบในการผลิต</t>
  </si>
  <si>
    <t>หจก.ห้างทองลิ้มเคียนฮวดกาฬสินธุ์</t>
  </si>
  <si>
    <t>จำนำ</t>
  </si>
  <si>
    <t>ขายสุทธิ</t>
  </si>
  <si>
    <t>บจก.นวทอง</t>
  </si>
  <si>
    <t>หจก.ห้างทองศรีฟ้า</t>
  </si>
  <si>
    <t>หจก.รถบ้านบุญมาก</t>
  </si>
  <si>
    <t>ค่าดำเนินการ</t>
  </si>
  <si>
    <t>ค่าปรับปรุงสินค้า</t>
  </si>
  <si>
    <t>ค่าวัสดุสิ้นเปลืองสำนักงาน</t>
  </si>
  <si>
    <t>ขายแก๊ส</t>
  </si>
  <si>
    <t>ขายอื่นๆ</t>
  </si>
  <si>
    <t>รวม ขาย</t>
  </si>
  <si>
    <t>ขายจักรยาน</t>
  </si>
  <si>
    <t>ขายทั้งหมด</t>
  </si>
  <si>
    <t>แบ่ง</t>
  </si>
  <si>
    <t>หจก.บ้านโพนมอเตอร์</t>
  </si>
  <si>
    <t>ประเภท</t>
  </si>
  <si>
    <t>ราคาขาย</t>
  </si>
  <si>
    <t>จักรยาน</t>
  </si>
  <si>
    <t>เตา 1 หัว</t>
  </si>
  <si>
    <t xml:space="preserve">เตา 2 หัว </t>
  </si>
  <si>
    <t>หม้อหุงข้าว</t>
  </si>
  <si>
    <t>ค่าทำบัญชี</t>
  </si>
  <si>
    <t>GAS</t>
  </si>
  <si>
    <t>4KG</t>
  </si>
  <si>
    <t>15KG</t>
  </si>
  <si>
    <t>รวม</t>
  </si>
  <si>
    <t>ยอดยกมา</t>
  </si>
  <si>
    <t>ซื้อเข้า</t>
  </si>
  <si>
    <t>ขายเต็มรูป</t>
  </si>
  <si>
    <t>ขายอย่างย่อ</t>
  </si>
  <si>
    <t>รวม 15kg</t>
  </si>
  <si>
    <t>เต็มรูป</t>
  </si>
  <si>
    <t>อย่างย่อ</t>
  </si>
  <si>
    <t xml:space="preserve">4 kg </t>
  </si>
  <si>
    <t>15 kg</t>
  </si>
  <si>
    <t>จำนวน</t>
  </si>
  <si>
    <t>ยอดขาย</t>
  </si>
  <si>
    <t>ราคา/หน่วย</t>
  </si>
  <si>
    <t>หน่วย</t>
  </si>
  <si>
    <t>ค่าบรรจุแก๊ส</t>
  </si>
  <si>
    <t>หักโลตัส</t>
  </si>
  <si>
    <t xml:space="preserve">สำนักงานใหญ่ </t>
  </si>
  <si>
    <t>ค่าอินเตอร์เน็ต</t>
  </si>
  <si>
    <t>ซื้อทรัพย์สิน</t>
  </si>
  <si>
    <t>ค่าซ่อมบำรุงอุปกรณ์สำนักงาน</t>
  </si>
  <si>
    <t>รวม 4kg + 48kg</t>
  </si>
  <si>
    <t>48kg</t>
  </si>
  <si>
    <t>4kg</t>
  </si>
  <si>
    <t>48KG</t>
  </si>
  <si>
    <t>จักรยานแก๊ส</t>
  </si>
  <si>
    <t>เอกชัย-ดิส</t>
  </si>
  <si>
    <t>เตา 2 หัว</t>
  </si>
  <si>
    <t>1-30</t>
  </si>
  <si>
    <t>1-31</t>
  </si>
  <si>
    <t>vat</t>
  </si>
  <si>
    <t>ประจำงวด 08/2561</t>
  </si>
  <si>
    <t>ซ่อมแซม</t>
  </si>
  <si>
    <t>ไฟฟ้า</t>
  </si>
  <si>
    <t>น้ำมัน</t>
  </si>
  <si>
    <t>ประปา</t>
  </si>
  <si>
    <t>โทรศัพท์</t>
  </si>
  <si>
    <t>รถ</t>
  </si>
  <si>
    <t>*มีค่าขนส่ง</t>
  </si>
  <si>
    <t>หจก.โชคเจริญไพศาล 08/2561</t>
  </si>
  <si>
    <t>*ค่าขนส่ง</t>
  </si>
  <si>
    <t xml:space="preserve">ค่าอบรม </t>
  </si>
  <si>
    <t>ประจำงวด 09/2561</t>
  </si>
  <si>
    <t>ค่าไฟฟ้า(08/2561)</t>
  </si>
  <si>
    <t>ค่าไฟฟ้า(09/2561) : 255542.60</t>
  </si>
  <si>
    <t>ขาย =157143.53*3</t>
  </si>
  <si>
    <t>หจก.ชุมพล เคหะภัณฑ์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</si>
</sst>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_(* #,##0.00_);_(* \(#,##0.00\);_(* &quot;-&quot;??_);_(@_)"/>
    <numFmt numFmtId="188" formatCode="0.0000"/>
    <numFmt numFmtId="189" formatCode="_(* #,##0_);_(* \(#,##0\);_(* &quot;-&quot;??_);_(@_)"/>
  </numFmts>
  <fonts count="2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u val="singleAccounting"/>
      <sz val="11"/>
      <color theme="1"/>
      <name val="Tahoma"/>
      <family val="2"/>
      <scheme val="minor"/>
    </font>
    <font>
      <sz val="18"/>
      <color theme="1"/>
      <name val="Angsana New"/>
      <family val="1"/>
    </font>
    <font>
      <u val="singleAccounting"/>
      <sz val="18"/>
      <color theme="1"/>
      <name val="Angsana New"/>
      <family val="1"/>
    </font>
    <font>
      <b/>
      <sz val="22"/>
      <color theme="1"/>
      <name val="Angsana New"/>
      <family val="1"/>
    </font>
    <font>
      <b/>
      <sz val="18"/>
      <color theme="1"/>
      <name val="Angsana New"/>
      <family val="1"/>
    </font>
    <font>
      <u val="doubleAccounting"/>
      <sz val="18"/>
      <color theme="1"/>
      <name val="Angsana New"/>
      <family val="1"/>
    </font>
    <font>
      <b/>
      <sz val="24"/>
      <color theme="1"/>
      <name val="Angsana New"/>
      <family val="1"/>
    </font>
    <font>
      <b/>
      <u val="doubleAccounting"/>
      <sz val="22"/>
      <color theme="1"/>
      <name val="Angsana New"/>
      <family val="1"/>
    </font>
    <font>
      <b/>
      <sz val="11"/>
      <color theme="1"/>
      <name val="Tahoma"/>
      <family val="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b/>
      <sz val="20"/>
      <color theme="1"/>
      <name val="Angsana New"/>
      <family val="1"/>
    </font>
    <font>
      <b/>
      <u val="doubleAccounting"/>
      <sz val="20"/>
      <color theme="1"/>
      <name val="Angsana New"/>
      <family val="1"/>
    </font>
    <font>
      <b/>
      <sz val="24"/>
      <color theme="1"/>
      <name val="Cordia New"/>
      <family val="2"/>
    </font>
    <font>
      <sz val="11"/>
      <color theme="1"/>
      <name val="Cordia New"/>
      <family val="2"/>
    </font>
    <font>
      <b/>
      <sz val="22"/>
      <color theme="1"/>
      <name val="Cordia New"/>
      <family val="2"/>
    </font>
    <font>
      <b/>
      <sz val="18"/>
      <color theme="1"/>
      <name val="Cordia New"/>
      <family val="2"/>
    </font>
    <font>
      <u val="doubleAccounting"/>
      <sz val="18"/>
      <color theme="1"/>
      <name val="Cordia New"/>
      <family val="2"/>
    </font>
    <font>
      <sz val="18"/>
      <color theme="1"/>
      <name val="Cordia New"/>
      <family val="2"/>
    </font>
    <font>
      <u val="singleAccounting"/>
      <sz val="18"/>
      <color theme="1"/>
      <name val="Cordia New"/>
      <family val="2"/>
    </font>
    <font>
      <u val="singleAccounting"/>
      <sz val="11"/>
      <color theme="1"/>
      <name val="Cordia New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b/>
      <sz val="16"/>
      <color theme="1"/>
      <name val="Cordia New"/>
      <family val="2"/>
    </font>
    <font>
      <sz val="16"/>
      <color theme="1"/>
      <name val="Cordia New"/>
      <family val="2"/>
    </font>
    <font>
      <b/>
      <sz val="20"/>
      <color theme="1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187" fontId="0" fillId="0" borderId="0" xfId="1" applyFont="1" applyAlignment="1">
      <alignment horizontal="center"/>
    </xf>
    <xf numFmtId="187" fontId="0" fillId="0" borderId="0" xfId="0" applyNumberFormat="1"/>
    <xf numFmtId="187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87" fontId="3" fillId="0" borderId="0" xfId="1" applyFont="1" applyAlignment="1">
      <alignment horizontal="center"/>
    </xf>
    <xf numFmtId="187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7" fontId="3" fillId="0" borderId="0" xfId="1" applyFont="1" applyAlignment="1">
      <alignment horizontal="center"/>
    </xf>
    <xf numFmtId="0" fontId="0" fillId="0" borderId="2" xfId="0" applyBorder="1"/>
    <xf numFmtId="187" fontId="0" fillId="0" borderId="0" xfId="1" applyFont="1"/>
    <xf numFmtId="2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7" fontId="3" fillId="0" borderId="0" xfId="1" applyFont="1" applyAlignment="1">
      <alignment horizontal="center"/>
    </xf>
    <xf numFmtId="0" fontId="0" fillId="2" borderId="0" xfId="0" applyFill="1"/>
    <xf numFmtId="187" fontId="0" fillId="0" borderId="0" xfId="1" applyNumberFormat="1" applyFont="1"/>
    <xf numFmtId="0" fontId="10" fillId="0" borderId="0" xfId="0" applyFont="1"/>
    <xf numFmtId="187" fontId="10" fillId="0" borderId="0" xfId="0" applyNumberFormat="1" applyFont="1"/>
    <xf numFmtId="187" fontId="0" fillId="0" borderId="0" xfId="1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187" fontId="12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187" fontId="11" fillId="0" borderId="0" xfId="1" applyFont="1"/>
    <xf numFmtId="0" fontId="12" fillId="0" borderId="0" xfId="0" applyFont="1"/>
    <xf numFmtId="0" fontId="12" fillId="0" borderId="1" xfId="0" applyFont="1" applyBorder="1"/>
    <xf numFmtId="43" fontId="0" fillId="0" borderId="0" xfId="0" applyNumberFormat="1"/>
    <xf numFmtId="43" fontId="10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7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187" fontId="10" fillId="0" borderId="0" xfId="1" applyFont="1"/>
    <xf numFmtId="9" fontId="12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87" fontId="12" fillId="0" borderId="0" xfId="1" applyFont="1"/>
    <xf numFmtId="187" fontId="12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87" fontId="0" fillId="0" borderId="0" xfId="1" applyFont="1" applyAlignment="1">
      <alignment horizontal="center" vertical="center"/>
    </xf>
    <xf numFmtId="187" fontId="3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87" fontId="3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87" fontId="5" fillId="0" borderId="0" xfId="1" applyFont="1" applyAlignment="1">
      <alignment horizontal="center"/>
    </xf>
    <xf numFmtId="187" fontId="6" fillId="0" borderId="0" xfId="1" applyFont="1" applyAlignment="1">
      <alignment horizontal="center"/>
    </xf>
    <xf numFmtId="0" fontId="0" fillId="3" borderId="0" xfId="0" applyFill="1"/>
    <xf numFmtId="187" fontId="0" fillId="0" borderId="0" xfId="1" quotePrefix="1" applyFont="1" applyAlignment="1">
      <alignment horizontal="center"/>
    </xf>
    <xf numFmtId="187" fontId="0" fillId="0" borderId="0" xfId="0" quotePrefix="1" applyNumberFormat="1" applyFont="1" applyAlignment="1">
      <alignment horizontal="center"/>
    </xf>
    <xf numFmtId="187" fontId="10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187" fontId="3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187" fontId="16" fillId="0" borderId="0" xfId="1" applyFont="1"/>
    <xf numFmtId="187" fontId="16" fillId="0" borderId="0" xfId="0" applyNumberFormat="1" applyFont="1"/>
    <xf numFmtId="0" fontId="16" fillId="4" borderId="0" xfId="0" applyFont="1" applyFill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87" fontId="16" fillId="4" borderId="0" xfId="1" applyFont="1" applyFill="1"/>
    <xf numFmtId="0" fontId="18" fillId="0" borderId="0" xfId="0" applyFont="1" applyAlignment="1"/>
    <xf numFmtId="187" fontId="16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187" fontId="20" fillId="0" borderId="0" xfId="1" applyFont="1" applyAlignment="1">
      <alignment horizontal="center"/>
    </xf>
    <xf numFmtId="187" fontId="16" fillId="4" borderId="0" xfId="0" applyNumberFormat="1" applyFont="1" applyFill="1"/>
    <xf numFmtId="187" fontId="22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187" fontId="20" fillId="0" borderId="0" xfId="0" applyNumberFormat="1" applyFont="1" applyAlignment="1">
      <alignment horizontal="center"/>
    </xf>
    <xf numFmtId="43" fontId="16" fillId="0" borderId="0" xfId="0" applyNumberFormat="1" applyFont="1"/>
    <xf numFmtId="0" fontId="24" fillId="0" borderId="0" xfId="0" applyFont="1"/>
    <xf numFmtId="187" fontId="24" fillId="0" borderId="0" xfId="1" applyFont="1"/>
    <xf numFmtId="187" fontId="24" fillId="0" borderId="0" xfId="0" applyNumberFormat="1" applyFont="1"/>
    <xf numFmtId="0" fontId="24" fillId="0" borderId="0" xfId="0" applyFont="1" applyFill="1"/>
    <xf numFmtId="187" fontId="24" fillId="0" borderId="0" xfId="1" applyFont="1" applyFill="1"/>
    <xf numFmtId="188" fontId="24" fillId="0" borderId="0" xfId="0" applyNumberFormat="1" applyFont="1" applyFill="1"/>
    <xf numFmtId="187" fontId="24" fillId="0" borderId="0" xfId="0" applyNumberFormat="1" applyFont="1" applyFill="1"/>
    <xf numFmtId="188" fontId="24" fillId="0" borderId="0" xfId="0" applyNumberFormat="1" applyFont="1"/>
    <xf numFmtId="43" fontId="24" fillId="0" borderId="0" xfId="0" applyNumberFormat="1" applyFont="1"/>
    <xf numFmtId="14" fontId="24" fillId="0" borderId="0" xfId="0" applyNumberFormat="1" applyFont="1"/>
    <xf numFmtId="0" fontId="23" fillId="0" borderId="0" xfId="0" applyFont="1"/>
    <xf numFmtId="187" fontId="23" fillId="0" borderId="0" xfId="0" applyNumberFormat="1" applyFont="1"/>
    <xf numFmtId="0" fontId="26" fillId="0" borderId="0" xfId="0" applyFont="1"/>
    <xf numFmtId="187" fontId="26" fillId="0" borderId="0" xfId="0" applyNumberFormat="1" applyFont="1"/>
    <xf numFmtId="43" fontId="26" fillId="0" borderId="0" xfId="0" applyNumberFormat="1" applyFont="1"/>
    <xf numFmtId="0" fontId="25" fillId="0" borderId="0" xfId="0" applyFont="1"/>
    <xf numFmtId="187" fontId="20" fillId="0" borderId="0" xfId="0" applyNumberFormat="1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89" fontId="26" fillId="0" borderId="0" xfId="1" applyNumberFormat="1" applyFont="1"/>
    <xf numFmtId="0" fontId="26" fillId="0" borderId="1" xfId="0" applyFont="1" applyBorder="1"/>
    <xf numFmtId="187" fontId="23" fillId="4" borderId="0" xfId="1" applyFont="1" applyFill="1"/>
    <xf numFmtId="189" fontId="16" fillId="0" borderId="0" xfId="0" applyNumberFormat="1" applyFont="1"/>
    <xf numFmtId="0" fontId="26" fillId="0" borderId="0" xfId="0" applyFont="1" applyAlignment="1">
      <alignment horizontal="center" vertical="center"/>
    </xf>
    <xf numFmtId="189" fontId="26" fillId="0" borderId="0" xfId="1" applyNumberFormat="1" applyFont="1" applyAlignment="1">
      <alignment vertical="center"/>
    </xf>
    <xf numFmtId="43" fontId="25" fillId="0" borderId="1" xfId="0" applyNumberFormat="1" applyFont="1" applyBorder="1"/>
    <xf numFmtId="43" fontId="26" fillId="0" borderId="0" xfId="0" applyNumberFormat="1" applyFont="1" applyAlignment="1">
      <alignment vertical="center"/>
    </xf>
    <xf numFmtId="187" fontId="26" fillId="0" borderId="0" xfId="1" applyFont="1" applyAlignment="1">
      <alignment vertical="center"/>
    </xf>
    <xf numFmtId="189" fontId="26" fillId="0" borderId="0" xfId="0" applyNumberFormat="1" applyFont="1"/>
    <xf numFmtId="187" fontId="25" fillId="0" borderId="1" xfId="1" applyFont="1" applyBorder="1"/>
    <xf numFmtId="0" fontId="25" fillId="0" borderId="1" xfId="0" applyFont="1" applyBorder="1" applyAlignment="1">
      <alignment horizontal="center" vertical="center"/>
    </xf>
    <xf numFmtId="0" fontId="25" fillId="0" borderId="4" xfId="0" applyFont="1" applyBorder="1"/>
    <xf numFmtId="0" fontId="25" fillId="0" borderId="4" xfId="0" applyFont="1" applyBorder="1" applyAlignment="1">
      <alignment horizontal="center"/>
    </xf>
    <xf numFmtId="187" fontId="25" fillId="0" borderId="4" xfId="1" applyNumberFormat="1" applyFont="1" applyBorder="1" applyAlignment="1">
      <alignment horizontal="center"/>
    </xf>
    <xf numFmtId="0" fontId="26" fillId="0" borderId="4" xfId="0" applyFont="1" applyBorder="1"/>
    <xf numFmtId="0" fontId="2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5" borderId="0" xfId="0" applyFont="1" applyFill="1"/>
    <xf numFmtId="187" fontId="24" fillId="5" borderId="0" xfId="1" applyFont="1" applyFill="1"/>
    <xf numFmtId="188" fontId="24" fillId="5" borderId="0" xfId="0" applyNumberFormat="1" applyFont="1" applyFill="1"/>
    <xf numFmtId="187" fontId="24" fillId="5" borderId="0" xfId="0" applyNumberFormat="1" applyFont="1" applyFill="1"/>
    <xf numFmtId="1" fontId="24" fillId="0" borderId="0" xfId="0" applyNumberFormat="1" applyFont="1"/>
    <xf numFmtId="0" fontId="25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87" fontId="3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187" fontId="4" fillId="0" borderId="0" xfId="1" applyFont="1" applyAlignment="1">
      <alignment horizontal="center"/>
    </xf>
    <xf numFmtId="187" fontId="3" fillId="0" borderId="0" xfId="1" applyFont="1" applyAlignment="1">
      <alignment horizontal="center"/>
    </xf>
    <xf numFmtId="18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7" fontId="7" fillId="0" borderId="0" xfId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87" fontId="14" fillId="0" borderId="0" xfId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187" fontId="9" fillId="0" borderId="0" xfId="1" applyFont="1" applyAlignment="1">
      <alignment horizontal="center"/>
    </xf>
    <xf numFmtId="43" fontId="6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187" fontId="3" fillId="0" borderId="3" xfId="1" applyFont="1" applyBorder="1" applyAlignment="1">
      <alignment horizontal="center"/>
    </xf>
    <xf numFmtId="187" fontId="3" fillId="0" borderId="0" xfId="1" applyFont="1" applyBorder="1" applyAlignment="1">
      <alignment horizontal="center"/>
    </xf>
    <xf numFmtId="0" fontId="6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187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87" fontId="20" fillId="0" borderId="0" xfId="1" applyFont="1" applyAlignment="1">
      <alignment horizontal="center"/>
    </xf>
    <xf numFmtId="187" fontId="21" fillId="0" borderId="0" xfId="1" applyFont="1" applyAlignment="1">
      <alignment horizontal="center"/>
    </xf>
    <xf numFmtId="187" fontId="19" fillId="0" borderId="0" xfId="1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3" fontId="26" fillId="0" borderId="0" xfId="1" applyNumberFormat="1" applyFont="1" applyAlignment="1">
      <alignment horizontal="center" vertical="center"/>
    </xf>
    <xf numFmtId="189" fontId="26" fillId="0" borderId="0" xfId="1" applyNumberFormat="1" applyFont="1" applyAlignment="1">
      <alignment horizontal="center"/>
    </xf>
  </cellXfs>
  <cellStyles count="3">
    <cellStyle name="จุลภาค" xfId="1" builtinId="3"/>
    <cellStyle name="ปกติ" xfId="0" builtinId="0"/>
    <cellStyle name="เปอร์เซ็นต์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workbookViewId="0">
      <selection activeCell="F6" sqref="F6"/>
    </sheetView>
  </sheetViews>
  <sheetFormatPr defaultRowHeight="14.25" x14ac:dyDescent="0.2"/>
  <cols>
    <col min="3" max="3" width="25.125" customWidth="1"/>
    <col min="4" max="4" width="9.625" bestFit="1" customWidth="1"/>
    <col min="5" max="5" width="10.25" customWidth="1"/>
    <col min="6" max="6" width="11.625" bestFit="1" customWidth="1"/>
    <col min="7" max="7" width="7.875" customWidth="1"/>
    <col min="8" max="8" width="9.25" customWidth="1"/>
    <col min="9" max="9" width="16.125" customWidth="1"/>
    <col min="10" max="10" width="11.625" bestFit="1" customWidth="1"/>
    <col min="11" max="11" width="12.125" customWidth="1"/>
    <col min="14" max="14" width="11.75" bestFit="1" customWidth="1"/>
    <col min="15" max="15" width="10.625" bestFit="1" customWidth="1"/>
    <col min="16" max="16" width="14" customWidth="1"/>
    <col min="17" max="17" width="9.625" bestFit="1" customWidth="1"/>
    <col min="18" max="18" width="10.625" bestFit="1" customWidth="1"/>
    <col min="19" max="19" width="9.625" bestFit="1" customWidth="1"/>
  </cols>
  <sheetData>
    <row r="1" spans="1:14" ht="34.5" x14ac:dyDescent="0.7">
      <c r="A1" s="145" t="s">
        <v>17</v>
      </c>
      <c r="B1" s="145"/>
      <c r="C1" s="145"/>
      <c r="D1" s="145"/>
      <c r="E1" s="145"/>
      <c r="F1" s="145"/>
      <c r="G1" s="145"/>
      <c r="H1" s="145"/>
      <c r="I1" s="139"/>
      <c r="J1" s="139"/>
      <c r="K1" s="139"/>
      <c r="L1" s="139"/>
    </row>
    <row r="2" spans="1:14" ht="31.5" x14ac:dyDescent="0.65">
      <c r="A2" s="146" t="s">
        <v>104</v>
      </c>
      <c r="B2" s="146"/>
      <c r="C2" s="146"/>
      <c r="D2" s="146"/>
      <c r="E2" s="146"/>
      <c r="F2" s="146"/>
      <c r="G2" s="146"/>
      <c r="H2" s="146"/>
    </row>
    <row r="3" spans="1:14" ht="31.5" x14ac:dyDescent="0.65">
      <c r="A3" s="10"/>
      <c r="B3" s="10"/>
      <c r="C3" s="10"/>
      <c r="D3" s="10"/>
      <c r="E3" s="10"/>
      <c r="F3" s="10"/>
      <c r="G3" s="10"/>
      <c r="J3" s="34"/>
      <c r="N3" t="s">
        <v>14</v>
      </c>
    </row>
    <row r="4" spans="1:14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1"/>
      <c r="J4" s="21"/>
      <c r="L4" s="14"/>
    </row>
    <row r="5" spans="1:14" ht="28.5" x14ac:dyDescent="0.7">
      <c r="A5" s="9"/>
      <c r="B5" s="137" t="s">
        <v>0</v>
      </c>
      <c r="C5" s="137"/>
      <c r="D5" s="143">
        <v>680635.51</v>
      </c>
      <c r="E5" s="143"/>
      <c r="F5" s="143">
        <v>47644.49</v>
      </c>
      <c r="G5" s="143"/>
      <c r="H5" s="2"/>
      <c r="I5" s="3">
        <f>D5+F5</f>
        <v>728280</v>
      </c>
      <c r="J5" s="15">
        <f>D5*0.07</f>
        <v>47644.485700000005</v>
      </c>
      <c r="L5" s="14"/>
    </row>
    <row r="6" spans="1:14" ht="26.25" x14ac:dyDescent="0.55000000000000004">
      <c r="A6" s="8"/>
      <c r="B6" s="142" t="s">
        <v>106</v>
      </c>
      <c r="C6" s="142"/>
      <c r="D6" s="6"/>
      <c r="E6" s="6"/>
      <c r="F6" s="6"/>
      <c r="G6" s="6"/>
      <c r="H6" s="2"/>
      <c r="I6" s="3"/>
      <c r="J6" s="15"/>
      <c r="L6" s="14"/>
    </row>
    <row r="7" spans="1:14" ht="26.25" x14ac:dyDescent="0.55000000000000004">
      <c r="B7" s="137" t="s">
        <v>105</v>
      </c>
      <c r="C7" s="137"/>
      <c r="D7" s="139">
        <v>237724.02</v>
      </c>
      <c r="E7" s="139"/>
      <c r="F7" s="139">
        <v>16640.68</v>
      </c>
      <c r="G7" s="139"/>
      <c r="H7" s="2"/>
      <c r="I7" s="3">
        <f t="shared" ref="I7:I14" si="0">D7+F7</f>
        <v>254364.69999999998</v>
      </c>
      <c r="J7" s="15">
        <f>D7*0.07</f>
        <v>16640.681400000001</v>
      </c>
      <c r="L7" s="14"/>
    </row>
    <row r="8" spans="1:14" ht="26.25" x14ac:dyDescent="0.55000000000000004">
      <c r="A8" s="9"/>
      <c r="B8" s="137" t="s">
        <v>1</v>
      </c>
      <c r="C8" s="137"/>
      <c r="D8" s="139">
        <v>172290.56</v>
      </c>
      <c r="E8" s="139"/>
      <c r="F8" s="139">
        <v>12060.34</v>
      </c>
      <c r="G8" s="139"/>
      <c r="H8" s="2"/>
      <c r="I8" s="3">
        <f t="shared" si="0"/>
        <v>184350.9</v>
      </c>
      <c r="J8" s="15">
        <f t="shared" ref="J8:J14" si="1">D8*0.07</f>
        <v>12060.3392</v>
      </c>
      <c r="L8" s="14"/>
    </row>
    <row r="9" spans="1:14" ht="26.25" hidden="1" customHeight="1" x14ac:dyDescent="0.55000000000000004">
      <c r="A9" s="9"/>
      <c r="B9" s="137" t="s">
        <v>13</v>
      </c>
      <c r="C9" s="137"/>
      <c r="D9" s="139"/>
      <c r="E9" s="139"/>
      <c r="F9" s="139"/>
      <c r="G9" s="139"/>
      <c r="H9" s="2"/>
      <c r="I9" s="3">
        <f t="shared" si="0"/>
        <v>0</v>
      </c>
      <c r="J9" s="15">
        <f t="shared" si="1"/>
        <v>0</v>
      </c>
      <c r="L9" s="14"/>
    </row>
    <row r="10" spans="1:14" ht="26.25" x14ac:dyDescent="0.55000000000000004">
      <c r="A10" s="9"/>
      <c r="B10" s="137" t="s">
        <v>16</v>
      </c>
      <c r="C10" s="137"/>
      <c r="D10" s="139">
        <v>0</v>
      </c>
      <c r="E10" s="139"/>
      <c r="F10" s="139">
        <v>0</v>
      </c>
      <c r="G10" s="139"/>
      <c r="H10" s="2"/>
      <c r="I10" s="3">
        <f>D10+F10</f>
        <v>0</v>
      </c>
      <c r="J10" s="15">
        <f t="shared" si="1"/>
        <v>0</v>
      </c>
      <c r="L10" s="14"/>
    </row>
    <row r="11" spans="1:14" ht="26.25" x14ac:dyDescent="0.55000000000000004">
      <c r="A11" s="9"/>
      <c r="B11" s="137" t="s">
        <v>25</v>
      </c>
      <c r="C11" s="137"/>
      <c r="D11" s="139">
        <v>0</v>
      </c>
      <c r="E11" s="139"/>
      <c r="F11" s="139">
        <v>0</v>
      </c>
      <c r="G11" s="139"/>
      <c r="H11" s="2"/>
      <c r="I11" s="3">
        <f t="shared" si="0"/>
        <v>0</v>
      </c>
      <c r="J11" s="15">
        <f t="shared" si="1"/>
        <v>0</v>
      </c>
      <c r="L11" s="14"/>
    </row>
    <row r="12" spans="1:14" ht="26.25" x14ac:dyDescent="0.55000000000000004">
      <c r="A12" s="9"/>
      <c r="B12" s="137" t="s">
        <v>18</v>
      </c>
      <c r="C12" s="137"/>
      <c r="D12" s="139">
        <f>5981.31+3364.49+10560.75</f>
        <v>19906.55</v>
      </c>
      <c r="E12" s="139"/>
      <c r="F12" s="139">
        <v>1393.46</v>
      </c>
      <c r="G12" s="139"/>
      <c r="H12" s="4"/>
      <c r="I12" s="3">
        <f>D12+F12</f>
        <v>21300.01</v>
      </c>
      <c r="J12" s="15">
        <f t="shared" si="1"/>
        <v>1393.4585000000002</v>
      </c>
      <c r="L12" s="14"/>
    </row>
    <row r="13" spans="1:14" ht="28.5" x14ac:dyDescent="0.7">
      <c r="A13" s="9"/>
      <c r="B13" s="137" t="s">
        <v>59</v>
      </c>
      <c r="C13" s="137"/>
      <c r="D13" s="138">
        <v>3500</v>
      </c>
      <c r="E13" s="138"/>
      <c r="F13" s="138">
        <v>245</v>
      </c>
      <c r="G13" s="138"/>
      <c r="H13" s="4"/>
      <c r="I13" s="3">
        <f t="shared" si="0"/>
        <v>3745</v>
      </c>
      <c r="J13" s="15">
        <f t="shared" si="1"/>
        <v>245.00000000000003</v>
      </c>
      <c r="L13" s="14"/>
    </row>
    <row r="14" spans="1:14" ht="28.5" x14ac:dyDescent="0.7">
      <c r="A14" s="9"/>
      <c r="B14" s="137" t="s">
        <v>2</v>
      </c>
      <c r="C14" s="137"/>
      <c r="D14" s="140">
        <f>SUM(D7:E13)</f>
        <v>433421.12999999995</v>
      </c>
      <c r="E14" s="141"/>
      <c r="F14" s="140">
        <f>SUM(F7:G13)</f>
        <v>30339.48</v>
      </c>
      <c r="G14" s="141"/>
      <c r="H14" s="1"/>
      <c r="I14" s="3">
        <f t="shared" si="0"/>
        <v>463760.60999999993</v>
      </c>
      <c r="J14" s="15">
        <f t="shared" si="1"/>
        <v>30339.4791</v>
      </c>
      <c r="L14" s="14"/>
    </row>
    <row r="15" spans="1:14" ht="26.25" x14ac:dyDescent="0.55000000000000004">
      <c r="A15" s="5"/>
      <c r="B15" s="5"/>
      <c r="C15" s="5"/>
      <c r="D15" s="7"/>
      <c r="E15" s="5"/>
      <c r="F15" s="7"/>
      <c r="G15" s="5"/>
      <c r="H15" s="1"/>
      <c r="I15" s="3"/>
      <c r="L15" s="14"/>
    </row>
    <row r="16" spans="1:14" ht="28.5" x14ac:dyDescent="0.7">
      <c r="A16" s="142" t="s">
        <v>3</v>
      </c>
      <c r="B16" s="142"/>
      <c r="C16" s="142"/>
      <c r="D16" s="142"/>
      <c r="E16" s="142"/>
      <c r="F16" s="140">
        <f>F5-F14</f>
        <v>17305.009999999998</v>
      </c>
      <c r="G16" s="141"/>
      <c r="H16" s="1"/>
      <c r="L16" s="14"/>
    </row>
    <row r="17" spans="3:19" x14ac:dyDescent="0.2">
      <c r="L17" s="14"/>
      <c r="N17" t="e">
        <f>AVERAGE(N4:N16)</f>
        <v>#DIV/0!</v>
      </c>
      <c r="O17">
        <f>SUM(N4:N16)</f>
        <v>0</v>
      </c>
    </row>
    <row r="18" spans="3:19" x14ac:dyDescent="0.2">
      <c r="C18" s="15"/>
      <c r="D18" s="15"/>
      <c r="E18" s="3">
        <f>C18*0.07</f>
        <v>0</v>
      </c>
      <c r="F18" s="15">
        <f>C18+E18</f>
        <v>0</v>
      </c>
      <c r="L18" s="14"/>
    </row>
    <row r="19" spans="3:19" x14ac:dyDescent="0.2">
      <c r="C19" s="15"/>
      <c r="D19" s="15"/>
      <c r="E19" s="3">
        <f t="shared" ref="E19:E22" si="2">C19*0.07</f>
        <v>0</v>
      </c>
      <c r="F19" s="15">
        <f>C19+E19</f>
        <v>0</v>
      </c>
      <c r="L19" s="14"/>
    </row>
    <row r="20" spans="3:19" x14ac:dyDescent="0.2">
      <c r="C20" s="15"/>
      <c r="D20" s="15"/>
      <c r="E20" s="3">
        <f>C20*0.07</f>
        <v>0</v>
      </c>
      <c r="F20" s="15">
        <f t="shared" ref="F20:F24" si="3">C20+E20</f>
        <v>0</v>
      </c>
      <c r="L20" s="14"/>
    </row>
    <row r="21" spans="3:19" x14ac:dyDescent="0.2">
      <c r="C21" s="15"/>
      <c r="D21" s="15"/>
      <c r="E21" s="3">
        <f t="shared" si="2"/>
        <v>0</v>
      </c>
      <c r="F21" s="15">
        <f t="shared" si="3"/>
        <v>0</v>
      </c>
      <c r="L21" s="14"/>
      <c r="M21">
        <v>1</v>
      </c>
      <c r="N21" s="15">
        <v>145616.92000000001</v>
      </c>
      <c r="O21" s="15">
        <v>10193.18</v>
      </c>
      <c r="P21" s="15">
        <v>19252.34</v>
      </c>
      <c r="Q21" s="24">
        <v>1347.66</v>
      </c>
      <c r="R21" s="24">
        <v>38600</v>
      </c>
      <c r="S21" s="3">
        <f>R21*0.07</f>
        <v>2702.0000000000005</v>
      </c>
    </row>
    <row r="22" spans="3:19" x14ac:dyDescent="0.2">
      <c r="C22" s="15"/>
      <c r="D22" s="15"/>
      <c r="E22" s="3">
        <f t="shared" si="2"/>
        <v>0</v>
      </c>
      <c r="F22" s="15">
        <f t="shared" si="3"/>
        <v>0</v>
      </c>
      <c r="L22" s="14"/>
      <c r="M22">
        <v>12</v>
      </c>
      <c r="N22">
        <v>145495.42000000001</v>
      </c>
      <c r="O22">
        <v>10184.68</v>
      </c>
    </row>
    <row r="23" spans="3:19" x14ac:dyDescent="0.2">
      <c r="C23" s="15"/>
      <c r="D23" s="15"/>
      <c r="F23" s="15">
        <f t="shared" si="3"/>
        <v>0</v>
      </c>
      <c r="L23" s="14"/>
      <c r="M23">
        <v>11</v>
      </c>
      <c r="N23" s="15">
        <v>131437.66</v>
      </c>
      <c r="O23" s="15">
        <v>9200.64</v>
      </c>
      <c r="P23" s="15">
        <f>4766.36+10747.66+3644.86</f>
        <v>19158.88</v>
      </c>
      <c r="Q23" s="15">
        <f>P23*0.07</f>
        <v>1341.1216000000002</v>
      </c>
    </row>
    <row r="24" spans="3:19" x14ac:dyDescent="0.2">
      <c r="C24" s="15">
        <f>SUM(C18:C23)</f>
        <v>0</v>
      </c>
      <c r="D24" s="15">
        <f>SUM(D18:D23)</f>
        <v>0</v>
      </c>
      <c r="E24" s="3">
        <f>SUM(E18:E23)</f>
        <v>0</v>
      </c>
      <c r="F24" s="15">
        <f t="shared" si="3"/>
        <v>0</v>
      </c>
      <c r="L24" s="14">
        <f>SUM(L4:L23)</f>
        <v>0</v>
      </c>
      <c r="M24">
        <v>10</v>
      </c>
      <c r="N24" s="15">
        <v>47686.07</v>
      </c>
      <c r="O24" s="15">
        <v>3338.03</v>
      </c>
    </row>
    <row r="25" spans="3:19" x14ac:dyDescent="0.2">
      <c r="C25" s="15"/>
      <c r="D25" s="15"/>
      <c r="I25" s="15">
        <f>SUM(I26:I91)</f>
        <v>184350.9</v>
      </c>
      <c r="J25" s="15">
        <f>I25*7/107</f>
        <v>12060.339252336449</v>
      </c>
      <c r="K25" s="15">
        <f>I25-J25</f>
        <v>172290.56074766355</v>
      </c>
      <c r="N25" s="15">
        <f>SUM(N21:N24)</f>
        <v>470236.07</v>
      </c>
      <c r="O25" s="15">
        <f>SUM(O21:O24)</f>
        <v>32916.53</v>
      </c>
      <c r="P25" s="15">
        <f t="shared" ref="P25" si="4">SUM(P21:P24)</f>
        <v>38411.22</v>
      </c>
      <c r="Q25" s="15">
        <f>SUM(Q21:Q24)</f>
        <v>2688.7816000000003</v>
      </c>
      <c r="R25" s="15">
        <f t="shared" ref="R25" si="5">SUM(R21:R24)</f>
        <v>38600</v>
      </c>
      <c r="S25" s="15">
        <f t="shared" ref="S25" si="6">SUM(S21:S24)</f>
        <v>2702.0000000000005</v>
      </c>
    </row>
    <row r="26" spans="3:19" x14ac:dyDescent="0.2">
      <c r="C26" s="15"/>
      <c r="D26" s="15"/>
      <c r="I26">
        <f>1500+1500+1140+500+700</f>
        <v>5340</v>
      </c>
    </row>
    <row r="27" spans="3:19" x14ac:dyDescent="0.2">
      <c r="I27">
        <f>1300+500+1200+1000+1850</f>
        <v>5850</v>
      </c>
      <c r="N27" s="3">
        <f>N25-N21</f>
        <v>324619.15000000002</v>
      </c>
      <c r="O27" s="3">
        <f>O25-O21</f>
        <v>22723.35</v>
      </c>
      <c r="P27" s="3">
        <f t="shared" ref="P27:S27" si="7">P25-P21</f>
        <v>19158.88</v>
      </c>
      <c r="Q27" s="3">
        <f t="shared" si="7"/>
        <v>1341.1216000000002</v>
      </c>
      <c r="R27" s="3">
        <f t="shared" si="7"/>
        <v>0</v>
      </c>
      <c r="S27" s="3">
        <f t="shared" si="7"/>
        <v>0</v>
      </c>
    </row>
    <row r="28" spans="3:19" x14ac:dyDescent="0.2">
      <c r="I28">
        <f>1500+1200+1670+1750+1120</f>
        <v>7240</v>
      </c>
    </row>
    <row r="29" spans="3:19" x14ac:dyDescent="0.2">
      <c r="I29">
        <f>1940+1500+500+1500+100</f>
        <v>5540</v>
      </c>
      <c r="N29" s="3">
        <f>N27+P27</f>
        <v>343778.03</v>
      </c>
    </row>
    <row r="30" spans="3:19" x14ac:dyDescent="0.2">
      <c r="I30">
        <f>2400+1000+1270+500+1500</f>
        <v>6670</v>
      </c>
    </row>
    <row r="31" spans="3:19" x14ac:dyDescent="0.2">
      <c r="I31">
        <f>1460+1200+1000+1400+500</f>
        <v>5560</v>
      </c>
    </row>
    <row r="32" spans="3:19" x14ac:dyDescent="0.2">
      <c r="I32">
        <f>1630+500+1500+1800+1500</f>
        <v>6930</v>
      </c>
    </row>
    <row r="33" spans="9:9" x14ac:dyDescent="0.2">
      <c r="I33">
        <f>500+1620+1300+1500+1400</f>
        <v>6320</v>
      </c>
    </row>
    <row r="34" spans="9:9" x14ac:dyDescent="0.2">
      <c r="I34">
        <f>1500+1760+1000+1830+1200</f>
        <v>7290</v>
      </c>
    </row>
    <row r="35" spans="9:9" x14ac:dyDescent="0.2">
      <c r="I35">
        <f>1000+1500+1500+1300+1400</f>
        <v>6700</v>
      </c>
    </row>
    <row r="36" spans="9:9" x14ac:dyDescent="0.2">
      <c r="I36">
        <f>1380+1000+1900+1800+500</f>
        <v>6580</v>
      </c>
    </row>
    <row r="37" spans="9:9" x14ac:dyDescent="0.2">
      <c r="I37">
        <f>1000+1200+1700+1400+2350</f>
        <v>7650</v>
      </c>
    </row>
    <row r="38" spans="9:9" x14ac:dyDescent="0.2">
      <c r="I38">
        <f>1000+1680+1500+1500+190</f>
        <v>5870</v>
      </c>
    </row>
    <row r="39" spans="9:9" x14ac:dyDescent="0.2">
      <c r="I39">
        <f>1295+1500+1600+1760+1590</f>
        <v>7745</v>
      </c>
    </row>
    <row r="40" spans="9:9" x14ac:dyDescent="0.2">
      <c r="I40">
        <f>1000+1860+1200+1500+1180</f>
        <v>6740</v>
      </c>
    </row>
    <row r="41" spans="9:9" x14ac:dyDescent="0.2">
      <c r="I41">
        <f>1100+1400+835.9+500+700</f>
        <v>4535.8999999999996</v>
      </c>
    </row>
    <row r="42" spans="9:9" x14ac:dyDescent="0.2">
      <c r="I42">
        <f>500+1500+1400+1200+1600</f>
        <v>6200</v>
      </c>
    </row>
    <row r="43" spans="9:9" x14ac:dyDescent="0.2">
      <c r="I43">
        <f>1400+1000+2100+1600+1950</f>
        <v>8050</v>
      </c>
    </row>
    <row r="44" spans="9:9" x14ac:dyDescent="0.2">
      <c r="I44">
        <f>800+1500+500+1760+670</f>
        <v>5230</v>
      </c>
    </row>
    <row r="45" spans="9:9" x14ac:dyDescent="0.2">
      <c r="I45">
        <f>1500+1100+740+1110+1200</f>
        <v>5650</v>
      </c>
    </row>
    <row r="46" spans="9:9" x14ac:dyDescent="0.2">
      <c r="I46">
        <f>1700+500+640+1500+1000</f>
        <v>5340</v>
      </c>
    </row>
    <row r="47" spans="9:9" x14ac:dyDescent="0.2">
      <c r="I47">
        <f>1000+1300+1500+600+920</f>
        <v>5320</v>
      </c>
    </row>
    <row r="48" spans="9:9" x14ac:dyDescent="0.2">
      <c r="I48">
        <f>720+1150+890+1270+1500</f>
        <v>5530</v>
      </c>
    </row>
    <row r="49" spans="9:9" x14ac:dyDescent="0.2">
      <c r="I49">
        <f>1000+1000+1720+810+1200</f>
        <v>5730</v>
      </c>
    </row>
    <row r="50" spans="9:9" x14ac:dyDescent="0.2">
      <c r="I50">
        <f>1500+1500+1400+1000+1100</f>
        <v>6500</v>
      </c>
    </row>
    <row r="51" spans="9:9" x14ac:dyDescent="0.2">
      <c r="I51">
        <f>1200+1000+1880+2250+1500</f>
        <v>7830</v>
      </c>
    </row>
    <row r="52" spans="9:9" x14ac:dyDescent="0.2">
      <c r="I52">
        <f>1100+1500+1500+1730+1560</f>
        <v>7390</v>
      </c>
    </row>
    <row r="53" spans="9:9" x14ac:dyDescent="0.2">
      <c r="I53">
        <f>1500+1000+1500+1500+1500</f>
        <v>7000</v>
      </c>
    </row>
    <row r="54" spans="9:9" x14ac:dyDescent="0.2">
      <c r="I54">
        <f>1000+1760+800+1300+1160</f>
        <v>6020</v>
      </c>
    </row>
  </sheetData>
  <mergeCells count="37">
    <mergeCell ref="I1:J1"/>
    <mergeCell ref="K1:L1"/>
    <mergeCell ref="F11:G11"/>
    <mergeCell ref="F5:G5"/>
    <mergeCell ref="D5:E5"/>
    <mergeCell ref="D7:E7"/>
    <mergeCell ref="F7:G7"/>
    <mergeCell ref="D4:E4"/>
    <mergeCell ref="F4:G4"/>
    <mergeCell ref="A1:H1"/>
    <mergeCell ref="B5:C5"/>
    <mergeCell ref="B4:C4"/>
    <mergeCell ref="F8:G8"/>
    <mergeCell ref="A2:H2"/>
    <mergeCell ref="B6:C6"/>
    <mergeCell ref="B7:C7"/>
    <mergeCell ref="F12:G12"/>
    <mergeCell ref="D9:E9"/>
    <mergeCell ref="F9:G9"/>
    <mergeCell ref="F16:G16"/>
    <mergeCell ref="A16:E16"/>
    <mergeCell ref="F13:G13"/>
    <mergeCell ref="D14:E14"/>
    <mergeCell ref="F14:G14"/>
    <mergeCell ref="B14:C14"/>
    <mergeCell ref="F10:G10"/>
    <mergeCell ref="B8:C8"/>
    <mergeCell ref="B11:C11"/>
    <mergeCell ref="B13:C13"/>
    <mergeCell ref="D13:E13"/>
    <mergeCell ref="D11:E11"/>
    <mergeCell ref="D8:E8"/>
    <mergeCell ref="B10:C10"/>
    <mergeCell ref="D10:E10"/>
    <mergeCell ref="B12:C12"/>
    <mergeCell ref="B9:C9"/>
    <mergeCell ref="D12:E12"/>
  </mergeCells>
  <pageMargins left="0.25" right="0.25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2"/>
  <sheetViews>
    <sheetView tabSelected="1" workbookViewId="0">
      <selection sqref="A1:H15"/>
    </sheetView>
  </sheetViews>
  <sheetFormatPr defaultRowHeight="14.25" x14ac:dyDescent="0.2"/>
  <cols>
    <col min="2" max="2" width="7.375" customWidth="1"/>
    <col min="3" max="3" width="15.875" style="15" customWidth="1"/>
    <col min="4" max="4" width="12.625" style="15" customWidth="1"/>
    <col min="5" max="5" width="15.125" customWidth="1"/>
    <col min="6" max="6" width="12.875" bestFit="1" customWidth="1"/>
    <col min="7" max="7" width="13.375" customWidth="1"/>
    <col min="8" max="8" width="8" customWidth="1"/>
    <col min="9" max="9" width="14" customWidth="1"/>
    <col min="11" max="11" width="11.625" bestFit="1" customWidth="1"/>
    <col min="12" max="12" width="15.875" customWidth="1"/>
    <col min="13" max="13" width="14.375" customWidth="1"/>
    <col min="14" max="14" width="9" customWidth="1"/>
    <col min="15" max="15" width="15.125" customWidth="1"/>
    <col min="16" max="16" width="16.25" customWidth="1"/>
  </cols>
  <sheetData>
    <row r="1" spans="1:16" ht="34.5" x14ac:dyDescent="0.7">
      <c r="A1" s="145" t="s">
        <v>27</v>
      </c>
      <c r="B1" s="145"/>
      <c r="C1" s="145"/>
      <c r="D1" s="145"/>
      <c r="E1" s="145"/>
      <c r="F1" s="145"/>
      <c r="G1" s="145"/>
      <c r="H1" s="145"/>
      <c r="M1" s="3">
        <f>ROUND(C$19,2)</f>
        <v>76886</v>
      </c>
      <c r="N1" s="52">
        <f>C24</f>
        <v>14.82</v>
      </c>
      <c r="O1" s="34">
        <f>ROUND(N1*M1,2)</f>
        <v>1139450.52</v>
      </c>
    </row>
    <row r="2" spans="1:16" ht="31.5" x14ac:dyDescent="0.65">
      <c r="A2" s="146" t="s">
        <v>104</v>
      </c>
      <c r="B2" s="146"/>
      <c r="C2" s="146"/>
      <c r="D2" s="146"/>
      <c r="E2" s="146"/>
      <c r="F2" s="146"/>
      <c r="G2" s="146"/>
      <c r="H2" s="146"/>
      <c r="M2" s="3">
        <f>ROUND(D$19,2)</f>
        <v>0</v>
      </c>
      <c r="N2" s="52">
        <f>D24</f>
        <v>14.82</v>
      </c>
      <c r="O2" s="34">
        <f t="shared" ref="O2:O6" si="0">ROUND(N2*M2,2)</f>
        <v>0</v>
      </c>
    </row>
    <row r="3" spans="1:16" ht="31.5" x14ac:dyDescent="0.65">
      <c r="A3" s="10"/>
      <c r="B3" s="10"/>
      <c r="C3" s="61"/>
      <c r="D3" s="61"/>
      <c r="E3" s="10"/>
      <c r="F3" s="10"/>
      <c r="G3" s="10"/>
      <c r="J3" t="s">
        <v>20</v>
      </c>
      <c r="K3" s="15">
        <v>8100</v>
      </c>
      <c r="M3" s="3">
        <f>ROUND(E$19,2)</f>
        <v>0</v>
      </c>
      <c r="N3" s="52">
        <f>E24</f>
        <v>15.13</v>
      </c>
      <c r="O3" s="34">
        <f t="shared" si="0"/>
        <v>0</v>
      </c>
    </row>
    <row r="4" spans="1:16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1"/>
      <c r="J4" t="s">
        <v>8</v>
      </c>
      <c r="K4" s="15">
        <f>15400+7740+10550+7420</f>
        <v>41110</v>
      </c>
      <c r="M4" s="3">
        <f>ROUND(F$19,2)</f>
        <v>0</v>
      </c>
      <c r="N4" s="52">
        <f>F24</f>
        <v>15.97</v>
      </c>
      <c r="O4" s="34">
        <f t="shared" si="0"/>
        <v>0</v>
      </c>
    </row>
    <row r="5" spans="1:16" ht="28.5" x14ac:dyDescent="0.7">
      <c r="A5" s="9"/>
      <c r="B5" s="137" t="s">
        <v>0</v>
      </c>
      <c r="C5" s="137"/>
      <c r="D5" s="143">
        <v>1064907.03</v>
      </c>
      <c r="E5" s="143"/>
      <c r="F5" s="143">
        <v>74543.490000000005</v>
      </c>
      <c r="G5" s="143"/>
      <c r="H5" s="2"/>
      <c r="I5" s="3">
        <f>D5*0.07</f>
        <v>74543.492100000003</v>
      </c>
      <c r="J5" t="s">
        <v>19</v>
      </c>
      <c r="K5" s="15">
        <v>7650</v>
      </c>
      <c r="M5" s="3">
        <f>ROUND(G$19,2)</f>
        <v>0</v>
      </c>
      <c r="N5" s="52">
        <f>G24</f>
        <v>14.82</v>
      </c>
      <c r="O5" s="34">
        <f t="shared" si="0"/>
        <v>0</v>
      </c>
    </row>
    <row r="6" spans="1:16" ht="26.25" x14ac:dyDescent="0.55000000000000004">
      <c r="A6" s="8"/>
      <c r="B6" s="8"/>
      <c r="C6" s="62"/>
      <c r="D6" s="57"/>
      <c r="E6" s="6"/>
      <c r="F6" s="6"/>
      <c r="G6" s="6"/>
      <c r="H6" s="2"/>
      <c r="I6" s="3">
        <f t="shared" ref="I6:I12" si="1">D6*0.07</f>
        <v>0</v>
      </c>
      <c r="K6" s="15">
        <f>K3+K4-K5</f>
        <v>41560</v>
      </c>
      <c r="L6" s="15">
        <f>K6*1.85</f>
        <v>76886</v>
      </c>
      <c r="M6" s="3">
        <f>ROUND(H$19,2)</f>
        <v>0</v>
      </c>
      <c r="N6" s="52"/>
      <c r="O6" s="34">
        <f t="shared" si="0"/>
        <v>0</v>
      </c>
      <c r="P6" s="34">
        <f>SUM(O1:O6)</f>
        <v>1139450.52</v>
      </c>
    </row>
    <row r="7" spans="1:16" ht="26.25" x14ac:dyDescent="0.55000000000000004">
      <c r="B7" s="137" t="s">
        <v>8</v>
      </c>
      <c r="C7" s="137"/>
      <c r="D7" s="139">
        <v>750372.61</v>
      </c>
      <c r="E7" s="139"/>
      <c r="F7" s="139">
        <v>52526.080000000002</v>
      </c>
      <c r="G7" s="139"/>
      <c r="H7" s="2"/>
      <c r="I7" s="3">
        <f t="shared" si="1"/>
        <v>52526.082700000006</v>
      </c>
      <c r="L7" s="15"/>
      <c r="M7" s="42">
        <f>SUM(M1:M6)</f>
        <v>76886</v>
      </c>
      <c r="N7" s="15"/>
      <c r="P7" s="34">
        <f>ROUND(P6*7/107,2)</f>
        <v>74543.490000000005</v>
      </c>
    </row>
    <row r="8" spans="1:16" ht="26.25" x14ac:dyDescent="0.55000000000000004">
      <c r="A8" s="9"/>
      <c r="B8" s="137" t="s">
        <v>9</v>
      </c>
      <c r="C8" s="137"/>
      <c r="D8" s="139">
        <v>7691.45</v>
      </c>
      <c r="E8" s="139"/>
      <c r="F8" s="139">
        <v>538.4</v>
      </c>
      <c r="G8" s="139"/>
      <c r="H8" s="2"/>
      <c r="I8" s="3">
        <f t="shared" si="1"/>
        <v>538.40150000000006</v>
      </c>
      <c r="K8" s="15"/>
      <c r="L8" s="34"/>
      <c r="M8" s="34"/>
      <c r="N8" s="15"/>
      <c r="P8" s="35">
        <f>P6-P7</f>
        <v>1064907.03</v>
      </c>
    </row>
    <row r="9" spans="1:16" ht="26.25" x14ac:dyDescent="0.55000000000000004">
      <c r="A9" s="9"/>
      <c r="B9" s="137" t="s">
        <v>15</v>
      </c>
      <c r="C9" s="137"/>
      <c r="D9" s="139"/>
      <c r="E9" s="139"/>
      <c r="F9" s="139"/>
      <c r="G9" s="139"/>
      <c r="H9" s="2"/>
      <c r="I9" s="3">
        <f t="shared" si="1"/>
        <v>0</v>
      </c>
      <c r="O9" s="34"/>
    </row>
    <row r="10" spans="1:16" ht="26.25" x14ac:dyDescent="0.55000000000000004">
      <c r="A10" s="9"/>
      <c r="B10" s="137" t="s">
        <v>10</v>
      </c>
      <c r="C10" s="137"/>
      <c r="D10" s="139"/>
      <c r="E10" s="139"/>
      <c r="F10" s="139"/>
      <c r="G10" s="139"/>
      <c r="H10" s="2"/>
      <c r="I10" s="3">
        <f t="shared" si="1"/>
        <v>0</v>
      </c>
      <c r="O10" s="34"/>
    </row>
    <row r="11" spans="1:16" ht="28.5" x14ac:dyDescent="0.7">
      <c r="A11" s="9"/>
      <c r="B11" s="137" t="s">
        <v>59</v>
      </c>
      <c r="C11" s="137"/>
      <c r="D11" s="138">
        <v>6000</v>
      </c>
      <c r="E11" s="138"/>
      <c r="F11" s="138">
        <v>420</v>
      </c>
      <c r="G11" s="138"/>
      <c r="H11" s="4"/>
      <c r="I11" s="3">
        <f t="shared" si="1"/>
        <v>420.00000000000006</v>
      </c>
      <c r="O11" s="34"/>
    </row>
    <row r="12" spans="1:16" ht="28.5" x14ac:dyDescent="0.7">
      <c r="A12" s="9"/>
      <c r="B12" s="137" t="s">
        <v>2</v>
      </c>
      <c r="C12" s="137"/>
      <c r="D12" s="140">
        <f>SUM(D7:E11)</f>
        <v>764064.05999999994</v>
      </c>
      <c r="E12" s="141"/>
      <c r="F12" s="140">
        <f>SUM(F7:G11)</f>
        <v>53484.480000000003</v>
      </c>
      <c r="G12" s="140"/>
      <c r="H12" s="1"/>
      <c r="I12" s="3">
        <f t="shared" si="1"/>
        <v>53484.484199999999</v>
      </c>
    </row>
    <row r="13" spans="1:16" ht="26.25" x14ac:dyDescent="0.55000000000000004">
      <c r="A13" s="5"/>
      <c r="B13" s="5"/>
      <c r="C13" s="57"/>
      <c r="D13" s="57"/>
      <c r="E13" s="5"/>
      <c r="F13" s="7"/>
      <c r="G13" s="5"/>
      <c r="H13" s="1"/>
    </row>
    <row r="14" spans="1:16" ht="28.5" x14ac:dyDescent="0.7">
      <c r="A14" s="142" t="s">
        <v>3</v>
      </c>
      <c r="B14" s="142"/>
      <c r="C14" s="142"/>
      <c r="D14" s="142"/>
      <c r="E14" s="142"/>
      <c r="F14" s="140">
        <f>F5-F12</f>
        <v>21059.010000000002</v>
      </c>
      <c r="G14" s="141"/>
      <c r="H14" s="1"/>
    </row>
    <row r="16" spans="1:16" x14ac:dyDescent="0.2">
      <c r="E16" s="34"/>
    </row>
    <row r="17" spans="2:13" x14ac:dyDescent="0.2">
      <c r="B17" t="s">
        <v>50</v>
      </c>
      <c r="C17" s="15">
        <f>L6</f>
        <v>76886</v>
      </c>
      <c r="E17" s="34"/>
      <c r="F17" s="34"/>
    </row>
    <row r="18" spans="2:13" x14ac:dyDescent="0.2">
      <c r="E18" s="34"/>
    </row>
    <row r="19" spans="2:13" s="22" customFormat="1" x14ac:dyDescent="0.2">
      <c r="B19" s="22" t="s">
        <v>51</v>
      </c>
      <c r="C19" s="42">
        <f>30/30*C17</f>
        <v>76886</v>
      </c>
      <c r="D19" s="42">
        <f>0/31*C17</f>
        <v>0</v>
      </c>
      <c r="E19" s="35">
        <f>0/31*C17</f>
        <v>0</v>
      </c>
      <c r="F19" s="35">
        <f>0/31*C17</f>
        <v>0</v>
      </c>
      <c r="G19" s="35">
        <f>0/31*C17</f>
        <v>0</v>
      </c>
      <c r="H19" s="35">
        <f>0/31*C17</f>
        <v>0</v>
      </c>
      <c r="I19" s="23">
        <f>SUM(C19:H19)</f>
        <v>76886</v>
      </c>
      <c r="L19" s="23">
        <f>SUM(L20:L29)</f>
        <v>750372.6100000001</v>
      </c>
      <c r="M19" s="23">
        <f>SUM(M20:M29)</f>
        <v>52526.080000000002</v>
      </c>
    </row>
    <row r="20" spans="2:13" x14ac:dyDescent="0.2">
      <c r="L20" s="15">
        <v>281093.12</v>
      </c>
      <c r="M20" s="15">
        <f>ROUND(L20*0.07,2)</f>
        <v>19676.52</v>
      </c>
    </row>
    <row r="21" spans="2:13" x14ac:dyDescent="0.2">
      <c r="L21" s="15">
        <v>141276.67000000001</v>
      </c>
      <c r="M21" s="15">
        <f t="shared" ref="M21:M29" si="2">ROUND(L21*0.07,2)</f>
        <v>9889.3700000000008</v>
      </c>
    </row>
    <row r="22" spans="2:13" x14ac:dyDescent="0.2">
      <c r="L22" s="15">
        <v>192567.04000000001</v>
      </c>
      <c r="M22" s="15">
        <f t="shared" si="2"/>
        <v>13479.69</v>
      </c>
    </row>
    <row r="23" spans="2:13" x14ac:dyDescent="0.2">
      <c r="C23" s="64" t="s">
        <v>91</v>
      </c>
      <c r="D23" s="64"/>
      <c r="E23" s="65"/>
      <c r="F23" s="51"/>
      <c r="G23" s="51"/>
      <c r="H23" s="124"/>
      <c r="I23" s="60"/>
      <c r="L23" s="15">
        <v>135435.78</v>
      </c>
      <c r="M23" s="15">
        <f t="shared" si="2"/>
        <v>9480.5</v>
      </c>
    </row>
    <row r="24" spans="2:13" s="22" customFormat="1" x14ac:dyDescent="0.2">
      <c r="C24" s="66">
        <v>14.82</v>
      </c>
      <c r="D24" s="66">
        <v>14.82</v>
      </c>
      <c r="E24" s="67">
        <v>15.13</v>
      </c>
      <c r="F24" s="67">
        <v>15.97</v>
      </c>
      <c r="G24" s="67">
        <v>14.82</v>
      </c>
      <c r="H24" s="67"/>
      <c r="I24" s="67"/>
      <c r="L24" s="42"/>
      <c r="M24" s="15">
        <f t="shared" si="2"/>
        <v>0</v>
      </c>
    </row>
    <row r="25" spans="2:13" s="22" customFormat="1" x14ac:dyDescent="0.2">
      <c r="C25" s="42">
        <f>SUM(C26:C245)</f>
        <v>0</v>
      </c>
      <c r="D25" s="42">
        <f>SUM(D26:D245)</f>
        <v>0</v>
      </c>
      <c r="E25" s="42">
        <f>SUM(E26:E245)</f>
        <v>0</v>
      </c>
      <c r="F25" s="42">
        <f t="shared" ref="F25:H25" si="3">SUM(F26:F245)</f>
        <v>0</v>
      </c>
      <c r="G25" s="42">
        <f t="shared" si="3"/>
        <v>0</v>
      </c>
      <c r="H25" s="42">
        <f t="shared" si="3"/>
        <v>0</v>
      </c>
      <c r="L25" s="42"/>
      <c r="M25" s="15">
        <f t="shared" si="2"/>
        <v>0</v>
      </c>
    </row>
    <row r="26" spans="2:13" x14ac:dyDescent="0.2">
      <c r="L26" s="15"/>
      <c r="M26" s="15">
        <f t="shared" si="2"/>
        <v>0</v>
      </c>
    </row>
    <row r="27" spans="2:13" x14ac:dyDescent="0.2">
      <c r="L27" s="15"/>
      <c r="M27" s="15">
        <f t="shared" si="2"/>
        <v>0</v>
      </c>
    </row>
    <row r="28" spans="2:13" x14ac:dyDescent="0.2">
      <c r="L28" s="15"/>
      <c r="M28" s="15">
        <f t="shared" si="2"/>
        <v>0</v>
      </c>
    </row>
    <row r="29" spans="2:13" x14ac:dyDescent="0.2">
      <c r="L29" s="15"/>
      <c r="M29" s="15">
        <f t="shared" si="2"/>
        <v>0</v>
      </c>
    </row>
    <row r="48" spans="5:5" x14ac:dyDescent="0.2">
      <c r="E48" s="63"/>
    </row>
    <row r="49" spans="5:6" x14ac:dyDescent="0.2">
      <c r="E49" s="63"/>
    </row>
    <row r="53" spans="5:6" x14ac:dyDescent="0.2">
      <c r="F53" s="63"/>
    </row>
    <row r="72" spans="5:5" x14ac:dyDescent="0.2">
      <c r="E72" s="34"/>
    </row>
  </sheetData>
  <mergeCells count="28">
    <mergeCell ref="B5:C5"/>
    <mergeCell ref="D5:E5"/>
    <mergeCell ref="F5:G5"/>
    <mergeCell ref="A1:H1"/>
    <mergeCell ref="A2:H2"/>
    <mergeCell ref="B4:C4"/>
    <mergeCell ref="D4:E4"/>
    <mergeCell ref="F4:G4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1:C11"/>
    <mergeCell ref="D11:E11"/>
    <mergeCell ref="F11:G11"/>
    <mergeCell ref="B10:C10"/>
    <mergeCell ref="D10:E10"/>
    <mergeCell ref="F10:G10"/>
    <mergeCell ref="B12:C12"/>
    <mergeCell ref="D12:E12"/>
    <mergeCell ref="F12:G12"/>
    <mergeCell ref="A14:E14"/>
    <mergeCell ref="F14:G14"/>
  </mergeCells>
  <pageMargins left="0.25" right="0.25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9"/>
  <sheetViews>
    <sheetView topLeftCell="A10" workbookViewId="0">
      <selection activeCell="B11" sqref="B11:C11"/>
    </sheetView>
  </sheetViews>
  <sheetFormatPr defaultRowHeight="14.25" x14ac:dyDescent="0.2"/>
  <cols>
    <col min="3" max="3" width="15.875" customWidth="1"/>
    <col min="5" max="5" width="12" customWidth="1"/>
    <col min="7" max="7" width="12.125" customWidth="1"/>
    <col min="8" max="8" width="10.375" customWidth="1"/>
    <col min="9" max="9" width="9.125" bestFit="1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4" max="14" width="10.625" bestFit="1" customWidth="1"/>
    <col min="15" max="15" width="12.5" customWidth="1"/>
  </cols>
  <sheetData>
    <row r="1" spans="1:15" ht="34.5" x14ac:dyDescent="0.7">
      <c r="A1" s="145" t="s">
        <v>7</v>
      </c>
      <c r="B1" s="145"/>
      <c r="C1" s="145"/>
      <c r="D1" s="145"/>
      <c r="E1" s="145"/>
      <c r="F1" s="145"/>
      <c r="G1" s="145"/>
      <c r="H1" s="145"/>
    </row>
    <row r="2" spans="1:15" ht="31.5" x14ac:dyDescent="0.65">
      <c r="A2" s="146" t="s">
        <v>93</v>
      </c>
      <c r="B2" s="146"/>
      <c r="C2" s="146"/>
      <c r="D2" s="146"/>
      <c r="E2" s="146"/>
      <c r="F2" s="146"/>
      <c r="G2" s="146"/>
      <c r="H2" s="146"/>
    </row>
    <row r="3" spans="1:15" ht="31.5" x14ac:dyDescent="0.65">
      <c r="A3" s="10"/>
      <c r="B3" s="10"/>
      <c r="C3" s="10"/>
      <c r="D3" s="10"/>
      <c r="E3" s="10"/>
      <c r="F3" s="10"/>
      <c r="G3" s="10"/>
      <c r="M3" s="15">
        <f>D16*328</f>
        <v>127592</v>
      </c>
      <c r="N3" s="15">
        <f>M3*7/107</f>
        <v>8347.1401869158872</v>
      </c>
      <c r="O3" s="15">
        <f>M3-N3</f>
        <v>119244.85981308411</v>
      </c>
    </row>
    <row r="4" spans="1:15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1"/>
      <c r="M4" s="15">
        <f>D16*388</f>
        <v>150932</v>
      </c>
      <c r="N4" s="15">
        <f>M4*7/107</f>
        <v>9874.0560747663549</v>
      </c>
      <c r="O4" s="15">
        <f>M4-N4</f>
        <v>141057.94392523365</v>
      </c>
    </row>
    <row r="5" spans="1:15" ht="26.25" x14ac:dyDescent="0.55000000000000004">
      <c r="A5" s="9"/>
      <c r="B5" s="137" t="s">
        <v>46</v>
      </c>
      <c r="C5" s="137"/>
      <c r="D5" s="139">
        <v>141057.94</v>
      </c>
      <c r="E5" s="139"/>
      <c r="F5" s="139">
        <v>9874.06</v>
      </c>
      <c r="G5" s="139"/>
      <c r="H5" s="2"/>
      <c r="J5" s="21">
        <f>D5*0.07</f>
        <v>9874.0558000000019</v>
      </c>
      <c r="K5" s="3">
        <f>D5+F5</f>
        <v>150932</v>
      </c>
      <c r="M5" s="15"/>
      <c r="N5" s="15">
        <f>N4-N3</f>
        <v>1526.9158878504677</v>
      </c>
      <c r="O5" s="15"/>
    </row>
    <row r="6" spans="1:15" ht="28.5" x14ac:dyDescent="0.7">
      <c r="A6" s="9"/>
      <c r="B6" s="137" t="s">
        <v>47</v>
      </c>
      <c r="C6" s="137"/>
      <c r="D6" s="143">
        <v>8224.2999999999993</v>
      </c>
      <c r="E6" s="143"/>
      <c r="F6" s="143">
        <v>575.70000000000005</v>
      </c>
      <c r="G6" s="143"/>
      <c r="H6" s="2"/>
      <c r="J6" s="21">
        <f>D6*0.07</f>
        <v>575.70100000000002</v>
      </c>
      <c r="K6" s="3">
        <f>D6+F6</f>
        <v>8800</v>
      </c>
      <c r="M6" s="15"/>
      <c r="N6" s="15"/>
      <c r="O6" s="15"/>
    </row>
    <row r="7" spans="1:15" ht="28.5" x14ac:dyDescent="0.7">
      <c r="A7" s="8"/>
      <c r="B7" s="142" t="s">
        <v>48</v>
      </c>
      <c r="C7" s="142"/>
      <c r="D7" s="143">
        <f>SUM(D5:E6)</f>
        <v>149282.23999999999</v>
      </c>
      <c r="E7" s="143"/>
      <c r="F7" s="143">
        <f>SUM(F5:G6)</f>
        <v>10449.76</v>
      </c>
      <c r="G7" s="143"/>
      <c r="H7" s="2"/>
      <c r="J7" s="3">
        <f t="shared" ref="J7:J12" si="0">D7*0.07</f>
        <v>10449.756800000001</v>
      </c>
    </row>
    <row r="8" spans="1:15" ht="26.25" x14ac:dyDescent="0.55000000000000004">
      <c r="B8" s="137" t="s">
        <v>8</v>
      </c>
      <c r="C8" s="137"/>
      <c r="D8" s="139">
        <v>119244.86</v>
      </c>
      <c r="E8" s="139"/>
      <c r="F8" s="139">
        <v>8347.14</v>
      </c>
      <c r="G8" s="139"/>
      <c r="H8" s="2"/>
      <c r="J8" s="3">
        <f t="shared" si="0"/>
        <v>8347.1402000000016</v>
      </c>
      <c r="K8" s="3">
        <f>D8+F8</f>
        <v>127592</v>
      </c>
    </row>
    <row r="9" spans="1:15" ht="26.25" x14ac:dyDescent="0.55000000000000004">
      <c r="A9" s="9"/>
      <c r="B9" s="137"/>
      <c r="C9" s="137"/>
      <c r="D9" s="139"/>
      <c r="E9" s="139"/>
      <c r="F9" s="139"/>
      <c r="G9" s="139"/>
      <c r="H9" s="2"/>
      <c r="J9" s="3">
        <f t="shared" si="0"/>
        <v>0</v>
      </c>
    </row>
    <row r="10" spans="1:15" ht="26.25" x14ac:dyDescent="0.55000000000000004">
      <c r="A10" s="9"/>
      <c r="B10" s="137"/>
      <c r="C10" s="137"/>
      <c r="D10" s="139"/>
      <c r="E10" s="139"/>
      <c r="F10" s="139"/>
      <c r="G10" s="139"/>
      <c r="H10" s="2"/>
      <c r="J10" s="3">
        <f t="shared" si="0"/>
        <v>0</v>
      </c>
    </row>
    <row r="11" spans="1:15" ht="28.5" x14ac:dyDescent="0.7">
      <c r="A11" s="9"/>
      <c r="B11" s="137"/>
      <c r="C11" s="137"/>
      <c r="D11" s="138"/>
      <c r="E11" s="138"/>
      <c r="F11" s="138"/>
      <c r="G11" s="138"/>
      <c r="H11" s="4"/>
      <c r="J11" s="3">
        <f t="shared" si="0"/>
        <v>0</v>
      </c>
    </row>
    <row r="12" spans="1:15" ht="28.5" x14ac:dyDescent="0.7">
      <c r="A12" s="9"/>
      <c r="B12" s="142" t="s">
        <v>2</v>
      </c>
      <c r="C12" s="142"/>
      <c r="D12" s="140">
        <f>SUM(D8:E11)</f>
        <v>119244.86</v>
      </c>
      <c r="E12" s="141"/>
      <c r="F12" s="140">
        <f>SUM(F8:G11)</f>
        <v>8347.14</v>
      </c>
      <c r="G12" s="141"/>
      <c r="H12" s="1"/>
      <c r="J12" s="3">
        <f t="shared" si="0"/>
        <v>8347.1402000000016</v>
      </c>
    </row>
    <row r="13" spans="1:15" ht="26.25" x14ac:dyDescent="0.55000000000000004">
      <c r="A13" s="5"/>
      <c r="B13" s="5"/>
      <c r="C13" s="5"/>
      <c r="D13" s="7"/>
      <c r="E13" s="5"/>
      <c r="F13" s="7"/>
      <c r="G13" s="5"/>
      <c r="H13" s="1"/>
    </row>
    <row r="14" spans="1:15" ht="28.5" x14ac:dyDescent="0.7">
      <c r="A14" s="142" t="s">
        <v>3</v>
      </c>
      <c r="B14" s="142"/>
      <c r="C14" s="142"/>
      <c r="D14" s="142"/>
      <c r="E14" s="142"/>
      <c r="F14" s="140">
        <f>F7-F12</f>
        <v>2102.6200000000008</v>
      </c>
      <c r="G14" s="141"/>
      <c r="H14" s="1"/>
    </row>
    <row r="15" spans="1:15" x14ac:dyDescent="0.2">
      <c r="L15" t="s">
        <v>53</v>
      </c>
      <c r="M15" t="s">
        <v>54</v>
      </c>
    </row>
    <row r="16" spans="1:15" x14ac:dyDescent="0.2">
      <c r="D16">
        <f>SUM(D17:D47)</f>
        <v>389</v>
      </c>
      <c r="G16" t="s">
        <v>47</v>
      </c>
      <c r="H16" s="15">
        <f>SUM(H17:H49)</f>
        <v>8800</v>
      </c>
      <c r="I16" s="15">
        <f>H16*7/107</f>
        <v>575.70093457943926</v>
      </c>
      <c r="J16" s="15">
        <f>H16-I16</f>
        <v>8224.2990654205605</v>
      </c>
      <c r="L16" t="s">
        <v>55</v>
      </c>
      <c r="M16" s="15">
        <v>1500</v>
      </c>
    </row>
    <row r="17" spans="3:13" x14ac:dyDescent="0.2">
      <c r="C17">
        <v>1</v>
      </c>
      <c r="D17">
        <v>53</v>
      </c>
      <c r="H17" s="15"/>
      <c r="I17" s="15"/>
      <c r="J17" s="15"/>
      <c r="M17" s="15">
        <v>2500</v>
      </c>
    </row>
    <row r="18" spans="3:13" x14ac:dyDescent="0.2">
      <c r="C18">
        <v>2</v>
      </c>
      <c r="H18" s="15"/>
      <c r="I18" s="15"/>
      <c r="J18" s="15"/>
      <c r="M18" s="15">
        <v>3500</v>
      </c>
    </row>
    <row r="19" spans="3:13" x14ac:dyDescent="0.2">
      <c r="C19">
        <v>3</v>
      </c>
      <c r="G19" t="s">
        <v>89</v>
      </c>
      <c r="H19" s="15">
        <v>2000</v>
      </c>
      <c r="I19" s="15"/>
      <c r="J19" s="15"/>
      <c r="L19" t="s">
        <v>56</v>
      </c>
      <c r="M19" s="15">
        <v>1000</v>
      </c>
    </row>
    <row r="20" spans="3:13" x14ac:dyDescent="0.2">
      <c r="C20">
        <v>4</v>
      </c>
      <c r="G20" t="s">
        <v>58</v>
      </c>
      <c r="H20" s="15">
        <v>1500</v>
      </c>
      <c r="I20" s="15"/>
      <c r="J20" s="15"/>
      <c r="M20" s="15">
        <v>2000</v>
      </c>
    </row>
    <row r="21" spans="3:13" x14ac:dyDescent="0.2">
      <c r="C21">
        <v>5</v>
      </c>
      <c r="D21">
        <v>55</v>
      </c>
      <c r="G21" t="s">
        <v>55</v>
      </c>
      <c r="H21" s="15">
        <v>3500</v>
      </c>
      <c r="I21" s="15"/>
      <c r="J21" s="15"/>
      <c r="L21" t="s">
        <v>57</v>
      </c>
      <c r="M21" s="15">
        <v>2000</v>
      </c>
    </row>
    <row r="22" spans="3:13" x14ac:dyDescent="0.2">
      <c r="C22">
        <v>6</v>
      </c>
      <c r="G22" t="s">
        <v>58</v>
      </c>
      <c r="H22" s="15">
        <v>1800</v>
      </c>
      <c r="I22" s="15"/>
      <c r="J22" s="15"/>
      <c r="M22" s="15">
        <v>2500</v>
      </c>
    </row>
    <row r="23" spans="3:13" x14ac:dyDescent="0.2">
      <c r="C23">
        <v>7</v>
      </c>
      <c r="H23" s="15"/>
      <c r="I23" s="15"/>
      <c r="J23" s="15"/>
      <c r="L23" t="s">
        <v>58</v>
      </c>
      <c r="M23" s="15">
        <v>600</v>
      </c>
    </row>
    <row r="24" spans="3:13" x14ac:dyDescent="0.2">
      <c r="C24">
        <v>8</v>
      </c>
      <c r="H24" s="15"/>
      <c r="I24" s="15"/>
      <c r="J24" s="15"/>
      <c r="M24" s="15">
        <v>1500</v>
      </c>
    </row>
    <row r="25" spans="3:13" x14ac:dyDescent="0.2">
      <c r="C25">
        <v>9</v>
      </c>
      <c r="D25">
        <v>50</v>
      </c>
      <c r="M25" s="15">
        <v>1800</v>
      </c>
    </row>
    <row r="26" spans="3:13" x14ac:dyDescent="0.2">
      <c r="C26">
        <v>10</v>
      </c>
    </row>
    <row r="27" spans="3:13" x14ac:dyDescent="0.2">
      <c r="C27">
        <v>11</v>
      </c>
    </row>
    <row r="28" spans="3:13" x14ac:dyDescent="0.2">
      <c r="C28">
        <v>12</v>
      </c>
    </row>
    <row r="29" spans="3:13" x14ac:dyDescent="0.2">
      <c r="C29">
        <v>13</v>
      </c>
      <c r="D29">
        <v>52</v>
      </c>
    </row>
    <row r="30" spans="3:13" x14ac:dyDescent="0.2">
      <c r="C30">
        <v>14</v>
      </c>
    </row>
    <row r="31" spans="3:13" x14ac:dyDescent="0.2">
      <c r="C31">
        <v>15</v>
      </c>
    </row>
    <row r="32" spans="3:13" x14ac:dyDescent="0.2">
      <c r="C32">
        <v>16</v>
      </c>
    </row>
    <row r="33" spans="3:4" x14ac:dyDescent="0.2">
      <c r="C33">
        <v>17</v>
      </c>
      <c r="D33">
        <v>47</v>
      </c>
    </row>
    <row r="34" spans="3:4" x14ac:dyDescent="0.2">
      <c r="C34">
        <v>18</v>
      </c>
    </row>
    <row r="35" spans="3:4" x14ac:dyDescent="0.2">
      <c r="C35">
        <v>19</v>
      </c>
    </row>
    <row r="36" spans="3:4" x14ac:dyDescent="0.2">
      <c r="C36">
        <v>20</v>
      </c>
    </row>
    <row r="37" spans="3:4" x14ac:dyDescent="0.2">
      <c r="C37">
        <v>21</v>
      </c>
    </row>
    <row r="38" spans="3:4" x14ac:dyDescent="0.2">
      <c r="C38">
        <v>22</v>
      </c>
      <c r="D38">
        <v>49</v>
      </c>
    </row>
    <row r="39" spans="3:4" x14ac:dyDescent="0.2">
      <c r="C39">
        <v>23</v>
      </c>
    </row>
    <row r="40" spans="3:4" x14ac:dyDescent="0.2">
      <c r="C40">
        <v>24</v>
      </c>
    </row>
    <row r="41" spans="3:4" x14ac:dyDescent="0.2">
      <c r="C41">
        <v>25</v>
      </c>
    </row>
    <row r="42" spans="3:4" x14ac:dyDescent="0.2">
      <c r="C42">
        <v>26</v>
      </c>
      <c r="D42">
        <v>43</v>
      </c>
    </row>
    <row r="43" spans="3:4" x14ac:dyDescent="0.2">
      <c r="C43">
        <v>27</v>
      </c>
    </row>
    <row r="44" spans="3:4" x14ac:dyDescent="0.2">
      <c r="C44">
        <v>28</v>
      </c>
    </row>
    <row r="45" spans="3:4" x14ac:dyDescent="0.2">
      <c r="C45">
        <v>29</v>
      </c>
      <c r="D45">
        <v>40</v>
      </c>
    </row>
    <row r="46" spans="3:4" x14ac:dyDescent="0.2">
      <c r="C46">
        <v>30</v>
      </c>
    </row>
    <row r="47" spans="3:4" x14ac:dyDescent="0.2">
      <c r="C47">
        <v>31</v>
      </c>
    </row>
    <row r="49" spans="6:6" x14ac:dyDescent="0.2">
      <c r="F49">
        <f>SUM(F47,F41,F34,F30)</f>
        <v>0</v>
      </c>
    </row>
  </sheetData>
  <mergeCells count="31">
    <mergeCell ref="B6:C6"/>
    <mergeCell ref="D6:E6"/>
    <mergeCell ref="F6:G6"/>
    <mergeCell ref="D7:E7"/>
    <mergeCell ref="F7:G7"/>
    <mergeCell ref="B7:C7"/>
    <mergeCell ref="B5:C5"/>
    <mergeCell ref="D5:E5"/>
    <mergeCell ref="F5:G5"/>
    <mergeCell ref="A1:H1"/>
    <mergeCell ref="A2:H2"/>
    <mergeCell ref="B4:C4"/>
    <mergeCell ref="D4:E4"/>
    <mergeCell ref="F4:G4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A14:E14"/>
    <mergeCell ref="F14:G14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1"/>
  <sheetViews>
    <sheetView workbookViewId="0">
      <selection activeCell="F8" sqref="F8:G8"/>
    </sheetView>
  </sheetViews>
  <sheetFormatPr defaultRowHeight="14.25" x14ac:dyDescent="0.2"/>
  <cols>
    <col min="2" max="2" width="10.375" customWidth="1"/>
    <col min="3" max="3" width="15.875" style="15" customWidth="1"/>
    <col min="4" max="4" width="12.625" style="15" customWidth="1"/>
    <col min="5" max="5" width="15.125" customWidth="1"/>
    <col min="6" max="6" width="12.875" bestFit="1" customWidth="1"/>
    <col min="7" max="7" width="13.375" customWidth="1"/>
    <col min="8" max="8" width="9.75" customWidth="1"/>
    <col min="9" max="9" width="14.625" customWidth="1"/>
    <col min="11" max="12" width="11.625" bestFit="1" customWidth="1"/>
    <col min="13" max="13" width="15.75" customWidth="1"/>
    <col min="14" max="14" width="13.25" customWidth="1"/>
    <col min="15" max="15" width="15.75" customWidth="1"/>
    <col min="16" max="16" width="16.25" customWidth="1"/>
  </cols>
  <sheetData>
    <row r="1" spans="1:16" ht="34.5" x14ac:dyDescent="0.7">
      <c r="A1" s="145" t="s">
        <v>26</v>
      </c>
      <c r="B1" s="145"/>
      <c r="C1" s="145"/>
      <c r="D1" s="145"/>
      <c r="E1" s="145"/>
      <c r="F1" s="145"/>
      <c r="G1" s="145"/>
      <c r="H1" s="145"/>
      <c r="M1" s="3">
        <f>ROUND(C$18,2)</f>
        <v>114977.5</v>
      </c>
      <c r="N1" s="52">
        <f>C23</f>
        <v>14.82</v>
      </c>
      <c r="O1" s="34">
        <f>ROUND(N1*M1,2)</f>
        <v>1703966.55</v>
      </c>
    </row>
    <row r="2" spans="1:16" ht="31.5" x14ac:dyDescent="0.65">
      <c r="A2" s="146" t="s">
        <v>93</v>
      </c>
      <c r="B2" s="146"/>
      <c r="C2" s="146"/>
      <c r="D2" s="146"/>
      <c r="E2" s="146"/>
      <c r="F2" s="146"/>
      <c r="G2" s="146"/>
      <c r="H2" s="146"/>
      <c r="M2" s="3">
        <f>ROUND(D$18,2)</f>
        <v>0</v>
      </c>
      <c r="N2" s="52">
        <f>D23</f>
        <v>14.82</v>
      </c>
      <c r="O2" s="34">
        <f t="shared" ref="O2:O6" si="0">ROUND(N2*M2,2)</f>
        <v>0</v>
      </c>
    </row>
    <row r="3" spans="1:16" ht="31.5" x14ac:dyDescent="0.65">
      <c r="A3" s="58"/>
      <c r="B3" s="58"/>
      <c r="C3" s="61"/>
      <c r="D3" s="61"/>
      <c r="E3" s="58"/>
      <c r="F3" s="58"/>
      <c r="G3" s="58"/>
      <c r="J3" t="s">
        <v>20</v>
      </c>
      <c r="K3" s="15">
        <v>10200</v>
      </c>
      <c r="M3" s="3">
        <f>ROUND(E$18,2)</f>
        <v>0</v>
      </c>
      <c r="N3" s="52">
        <f>E23</f>
        <v>15.13</v>
      </c>
      <c r="O3" s="34">
        <f t="shared" si="0"/>
        <v>0</v>
      </c>
    </row>
    <row r="4" spans="1:16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60"/>
      <c r="J4" t="s">
        <v>8</v>
      </c>
      <c r="K4" s="15">
        <v>61500</v>
      </c>
      <c r="M4" s="3">
        <f>ROUND(F$18,2)</f>
        <v>0</v>
      </c>
      <c r="N4" s="52">
        <f>F23</f>
        <v>15.97</v>
      </c>
      <c r="O4" s="34">
        <f t="shared" si="0"/>
        <v>0</v>
      </c>
    </row>
    <row r="5" spans="1:16" ht="28.5" x14ac:dyDescent="0.7">
      <c r="A5" s="9"/>
      <c r="B5" s="137" t="s">
        <v>0</v>
      </c>
      <c r="C5" s="137"/>
      <c r="D5" s="143">
        <v>1592492.1</v>
      </c>
      <c r="E5" s="143"/>
      <c r="F5" s="143">
        <v>111474.45</v>
      </c>
      <c r="G5" s="143"/>
      <c r="H5" s="2"/>
      <c r="I5" s="3">
        <f>D5*0.07</f>
        <v>111474.44700000001</v>
      </c>
      <c r="J5" t="s">
        <v>19</v>
      </c>
      <c r="K5" s="15">
        <v>9550</v>
      </c>
      <c r="M5" s="3">
        <f>ROUND(G$18,2)</f>
        <v>0</v>
      </c>
      <c r="N5" s="52">
        <f>G23</f>
        <v>14.82</v>
      </c>
      <c r="O5" s="34">
        <f>ROUND(N5*M5,2)</f>
        <v>0</v>
      </c>
    </row>
    <row r="6" spans="1:16" ht="26.25" x14ac:dyDescent="0.55000000000000004">
      <c r="A6" s="59"/>
      <c r="B6" s="59"/>
      <c r="C6" s="62"/>
      <c r="D6" s="57"/>
      <c r="E6" s="57"/>
      <c r="F6" s="57"/>
      <c r="G6" s="57"/>
      <c r="H6" s="2"/>
      <c r="I6" s="3">
        <f t="shared" ref="I6:I11" si="1">D6*0.07</f>
        <v>0</v>
      </c>
      <c r="K6" s="15">
        <f>K3+K4-K5</f>
        <v>62150</v>
      </c>
      <c r="L6" s="15">
        <f>K6*1.85</f>
        <v>114977.5</v>
      </c>
      <c r="M6" s="3">
        <f>H$18</f>
        <v>0</v>
      </c>
      <c r="N6" s="52"/>
      <c r="O6" s="34">
        <f t="shared" si="0"/>
        <v>0</v>
      </c>
      <c r="P6" s="34">
        <f>SUM(O1:O6)</f>
        <v>1703966.55</v>
      </c>
    </row>
    <row r="7" spans="1:16" ht="26.25" x14ac:dyDescent="0.55000000000000004">
      <c r="B7" s="137" t="s">
        <v>8</v>
      </c>
      <c r="C7" s="137"/>
      <c r="D7" s="139">
        <v>1122532.97</v>
      </c>
      <c r="E7" s="139"/>
      <c r="F7" s="139">
        <v>78577.31</v>
      </c>
      <c r="G7" s="139"/>
      <c r="H7" s="2"/>
      <c r="I7" s="3">
        <f t="shared" si="1"/>
        <v>78577.3079</v>
      </c>
      <c r="L7" s="15"/>
      <c r="M7" s="42">
        <f>SUM(M1:M6)</f>
        <v>114977.5</v>
      </c>
      <c r="N7" s="15"/>
      <c r="P7" s="34">
        <f>ROUND(P6*7/107,2)</f>
        <v>111474.45</v>
      </c>
    </row>
    <row r="8" spans="1:16" ht="26.25" x14ac:dyDescent="0.55000000000000004">
      <c r="A8" s="9"/>
      <c r="B8" s="137" t="s">
        <v>9</v>
      </c>
      <c r="C8" s="137"/>
      <c r="D8" s="139">
        <v>5488.19</v>
      </c>
      <c r="E8" s="139"/>
      <c r="F8" s="139">
        <v>384.17</v>
      </c>
      <c r="G8" s="139"/>
      <c r="H8" s="2"/>
      <c r="I8" s="3">
        <f t="shared" si="1"/>
        <v>384.17329999999998</v>
      </c>
      <c r="K8" s="15"/>
      <c r="L8" s="34"/>
      <c r="M8" s="34"/>
      <c r="N8" s="15"/>
      <c r="P8" s="35">
        <f>P6-P7</f>
        <v>1592492.1</v>
      </c>
    </row>
    <row r="9" spans="1:16" ht="26.25" x14ac:dyDescent="0.55000000000000004">
      <c r="A9" s="9"/>
      <c r="B9" s="137" t="s">
        <v>10</v>
      </c>
      <c r="C9" s="137"/>
      <c r="D9" s="139"/>
      <c r="E9" s="139"/>
      <c r="F9" s="139"/>
      <c r="G9" s="139"/>
      <c r="H9" s="2"/>
      <c r="I9" s="3">
        <f t="shared" si="1"/>
        <v>0</v>
      </c>
      <c r="O9" s="34"/>
    </row>
    <row r="10" spans="1:16" ht="28.5" x14ac:dyDescent="0.7">
      <c r="A10" s="9"/>
      <c r="B10" s="137"/>
      <c r="C10" s="137"/>
      <c r="D10" s="138"/>
      <c r="E10" s="138"/>
      <c r="F10" s="138"/>
      <c r="G10" s="138"/>
      <c r="H10" s="4"/>
      <c r="I10" s="3">
        <f t="shared" si="1"/>
        <v>0</v>
      </c>
      <c r="O10" s="34"/>
    </row>
    <row r="11" spans="1:16" ht="28.5" x14ac:dyDescent="0.7">
      <c r="A11" s="9"/>
      <c r="B11" s="137" t="s">
        <v>2</v>
      </c>
      <c r="C11" s="137"/>
      <c r="D11" s="140">
        <f>SUM(D7:E10)</f>
        <v>1128021.1599999999</v>
      </c>
      <c r="E11" s="141"/>
      <c r="F11" s="140">
        <f>SUM(F7:G10)</f>
        <v>78961.48</v>
      </c>
      <c r="G11" s="140"/>
      <c r="H11" s="60"/>
      <c r="I11" s="3">
        <f t="shared" si="1"/>
        <v>78961.481199999995</v>
      </c>
    </row>
    <row r="12" spans="1:16" ht="26.25" x14ac:dyDescent="0.55000000000000004">
      <c r="A12" s="5"/>
      <c r="B12" s="5"/>
      <c r="C12" s="57"/>
      <c r="D12" s="57"/>
      <c r="E12" s="5"/>
      <c r="F12" s="7"/>
      <c r="G12" s="5"/>
      <c r="H12" s="60"/>
    </row>
    <row r="13" spans="1:16" ht="28.5" x14ac:dyDescent="0.7">
      <c r="A13" s="142" t="s">
        <v>3</v>
      </c>
      <c r="B13" s="142"/>
      <c r="C13" s="142"/>
      <c r="D13" s="142"/>
      <c r="E13" s="142"/>
      <c r="F13" s="140">
        <f>F5-F11</f>
        <v>32512.97</v>
      </c>
      <c r="G13" s="141"/>
      <c r="H13" s="60"/>
    </row>
    <row r="14" spans="1:16" x14ac:dyDescent="0.2">
      <c r="M14" s="15"/>
      <c r="N14" s="15"/>
      <c r="O14" s="15"/>
      <c r="P14" s="15"/>
    </row>
    <row r="15" spans="1:16" x14ac:dyDescent="0.2">
      <c r="E15" s="34"/>
      <c r="M15" s="42">
        <f>SUM(M16:M26)</f>
        <v>1122532.97</v>
      </c>
      <c r="N15" s="42">
        <f>SUM(N16:N19)</f>
        <v>78577.31</v>
      </c>
      <c r="O15" s="42">
        <f>SUM(O16:O19)</f>
        <v>1201110.2799999998</v>
      </c>
      <c r="P15" s="15"/>
    </row>
    <row r="16" spans="1:16" x14ac:dyDescent="0.2">
      <c r="B16" t="s">
        <v>50</v>
      </c>
      <c r="C16" s="15">
        <f>L6</f>
        <v>114977.5</v>
      </c>
      <c r="E16" s="34"/>
      <c r="F16" s="34"/>
      <c r="M16" s="15">
        <v>283465.98</v>
      </c>
      <c r="N16" s="15">
        <f>ROUND(M16*0.07,2)</f>
        <v>19842.62</v>
      </c>
      <c r="O16" s="15">
        <f>M16+N16</f>
        <v>303308.59999999998</v>
      </c>
      <c r="P16" s="15"/>
    </row>
    <row r="17" spans="2:16" x14ac:dyDescent="0.2">
      <c r="E17" s="34"/>
      <c r="M17" s="15">
        <v>279085.31</v>
      </c>
      <c r="N17" s="15">
        <f t="shared" ref="N17:N19" si="2">ROUND(M17*0.07,2)</f>
        <v>19535.97</v>
      </c>
      <c r="O17" s="15">
        <f t="shared" ref="O17:O19" si="3">M17+N17</f>
        <v>298621.28000000003</v>
      </c>
      <c r="P17" s="15"/>
    </row>
    <row r="18" spans="2:16" s="22" customFormat="1" x14ac:dyDescent="0.2">
      <c r="B18" s="22" t="s">
        <v>51</v>
      </c>
      <c r="C18" s="42">
        <f>30/30*$C$16</f>
        <v>114977.5</v>
      </c>
      <c r="D18" s="42"/>
      <c r="E18" s="35"/>
      <c r="F18" s="35"/>
      <c r="G18" s="35"/>
      <c r="H18" s="35">
        <f>0/31*C16</f>
        <v>0</v>
      </c>
      <c r="I18" s="23">
        <f>SUM(C18:H18)</f>
        <v>114977.5</v>
      </c>
      <c r="M18" s="15">
        <v>280355.89</v>
      </c>
      <c r="N18" s="15">
        <f t="shared" si="2"/>
        <v>19624.91</v>
      </c>
      <c r="O18" s="15">
        <f t="shared" si="3"/>
        <v>299980.79999999999</v>
      </c>
      <c r="P18" s="42"/>
    </row>
    <row r="19" spans="2:16" x14ac:dyDescent="0.2">
      <c r="M19" s="15">
        <v>279625.78999999998</v>
      </c>
      <c r="N19" s="15">
        <f t="shared" si="2"/>
        <v>19573.810000000001</v>
      </c>
      <c r="O19" s="15">
        <f t="shared" si="3"/>
        <v>299199.59999999998</v>
      </c>
      <c r="P19" s="15"/>
    </row>
    <row r="20" spans="2:16" x14ac:dyDescent="0.2">
      <c r="M20" s="15"/>
      <c r="N20" s="15"/>
      <c r="O20" s="15"/>
      <c r="P20" s="15"/>
    </row>
    <row r="21" spans="2:16" x14ac:dyDescent="0.2">
      <c r="M21" s="15"/>
      <c r="N21" s="15"/>
      <c r="O21" s="15"/>
      <c r="P21" s="15"/>
    </row>
    <row r="22" spans="2:16" x14ac:dyDescent="0.2">
      <c r="C22" s="64" t="s">
        <v>90</v>
      </c>
      <c r="D22" s="64"/>
      <c r="E22" s="65"/>
      <c r="F22" s="51"/>
      <c r="G22" s="51"/>
      <c r="H22" s="60"/>
      <c r="I22" s="60"/>
      <c r="M22" s="15"/>
      <c r="N22" s="15"/>
      <c r="O22" s="15"/>
      <c r="P22" s="15"/>
    </row>
    <row r="23" spans="2:16" s="22" customFormat="1" x14ac:dyDescent="0.2">
      <c r="C23" s="66">
        <v>14.82</v>
      </c>
      <c r="D23" s="66">
        <v>14.82</v>
      </c>
      <c r="E23" s="67">
        <v>15.13</v>
      </c>
      <c r="F23" s="67">
        <v>15.97</v>
      </c>
      <c r="G23" s="67">
        <v>14.82</v>
      </c>
      <c r="H23" s="67"/>
      <c r="I23" s="67"/>
      <c r="M23" s="42"/>
      <c r="N23" s="42"/>
      <c r="O23" s="42"/>
      <c r="P23" s="42"/>
    </row>
    <row r="24" spans="2:16" s="22" customFormat="1" x14ac:dyDescent="0.2">
      <c r="C24" s="42">
        <f>SUM(C25:C244)</f>
        <v>0</v>
      </c>
      <c r="D24" s="42">
        <f>SUM(D25:D244)</f>
        <v>0</v>
      </c>
      <c r="E24" s="42">
        <f>SUM(E25:E244)</f>
        <v>0</v>
      </c>
      <c r="F24" s="42">
        <f>SUM(F25:F244)</f>
        <v>0</v>
      </c>
      <c r="G24" s="42">
        <f t="shared" ref="G24:H24" si="4">SUM(G25:G244)</f>
        <v>0</v>
      </c>
      <c r="H24" s="42">
        <f t="shared" si="4"/>
        <v>0</v>
      </c>
      <c r="M24" s="42"/>
      <c r="N24" s="42"/>
      <c r="O24" s="42"/>
      <c r="P24" s="42"/>
    </row>
    <row r="25" spans="2:16" x14ac:dyDescent="0.2">
      <c r="M25" s="15"/>
      <c r="N25" s="15"/>
      <c r="O25" s="15"/>
      <c r="P25" s="15"/>
    </row>
    <row r="26" spans="2:16" x14ac:dyDescent="0.2">
      <c r="M26" s="15"/>
      <c r="N26" s="15"/>
      <c r="O26" s="15"/>
      <c r="P26" s="15"/>
    </row>
    <row r="27" spans="2:16" x14ac:dyDescent="0.2">
      <c r="M27" s="15"/>
      <c r="N27" s="15"/>
      <c r="O27" s="15"/>
      <c r="P27" s="15"/>
    </row>
    <row r="47" spans="5:5" x14ac:dyDescent="0.2">
      <c r="E47" s="63"/>
    </row>
    <row r="48" spans="5:5" x14ac:dyDescent="0.2">
      <c r="E48" s="63"/>
    </row>
    <row r="52" spans="6:6" x14ac:dyDescent="0.2">
      <c r="F52" s="63"/>
    </row>
    <row r="71" spans="5:5" x14ac:dyDescent="0.2">
      <c r="E71" s="34"/>
    </row>
  </sheetData>
  <mergeCells count="25">
    <mergeCell ref="F5:G5"/>
    <mergeCell ref="B7:C7"/>
    <mergeCell ref="D7:E7"/>
    <mergeCell ref="F7:G7"/>
    <mergeCell ref="B10:C10"/>
    <mergeCell ref="D10:E10"/>
    <mergeCell ref="F10:G10"/>
    <mergeCell ref="B8:C8"/>
    <mergeCell ref="D8:E8"/>
    <mergeCell ref="F8:G8"/>
    <mergeCell ref="B9:C9"/>
    <mergeCell ref="D9:E9"/>
    <mergeCell ref="F9:G9"/>
    <mergeCell ref="B5:C5"/>
    <mergeCell ref="D5:E5"/>
    <mergeCell ref="A1:H1"/>
    <mergeCell ref="A2:H2"/>
    <mergeCell ref="B4:C4"/>
    <mergeCell ref="D4:E4"/>
    <mergeCell ref="F4:G4"/>
    <mergeCell ref="B11:C11"/>
    <mergeCell ref="D11:E11"/>
    <mergeCell ref="F11:G11"/>
    <mergeCell ref="A13:E13"/>
    <mergeCell ref="F13:G13"/>
  </mergeCells>
  <pageMargins left="0.25" right="0.25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0"/>
  <sheetViews>
    <sheetView topLeftCell="E4" workbookViewId="0">
      <selection activeCell="H5" sqref="H5"/>
    </sheetView>
  </sheetViews>
  <sheetFormatPr defaultRowHeight="24" x14ac:dyDescent="0.55000000000000004"/>
  <cols>
    <col min="1" max="1" width="10.5" style="72" customWidth="1"/>
    <col min="2" max="2" width="9" style="72"/>
    <col min="3" max="3" width="16.125" style="72" customWidth="1"/>
    <col min="4" max="4" width="10" style="72" bestFit="1" customWidth="1"/>
    <col min="5" max="5" width="15.625" style="72" customWidth="1"/>
    <col min="6" max="6" width="13.625" style="72" customWidth="1"/>
    <col min="7" max="7" width="12.125" style="72" customWidth="1"/>
    <col min="8" max="9" width="9" style="72"/>
    <col min="10" max="10" width="15.125" style="72" customWidth="1"/>
    <col min="11" max="11" width="9" style="72"/>
    <col min="12" max="12" width="4.5" style="72" customWidth="1"/>
    <col min="13" max="13" width="9.375" style="72" customWidth="1"/>
    <col min="14" max="14" width="6.625" style="72" customWidth="1"/>
    <col min="15" max="15" width="9.5" style="72" customWidth="1"/>
    <col min="16" max="16" width="9.625" style="72" customWidth="1"/>
    <col min="17" max="17" width="11.875" style="75" customWidth="1"/>
    <col min="18" max="18" width="11.625" style="100" bestFit="1" customWidth="1"/>
    <col min="19" max="19" width="13.5" style="100" customWidth="1"/>
    <col min="20" max="21" width="8.25" style="100" customWidth="1"/>
    <col min="22" max="22" width="14.625" style="100" customWidth="1"/>
    <col min="23" max="23" width="11.5" style="100" customWidth="1"/>
    <col min="24" max="24" width="14.625" style="100" customWidth="1"/>
    <col min="25" max="25" width="9" style="88"/>
    <col min="26" max="16384" width="9" style="72"/>
  </cols>
  <sheetData>
    <row r="1" spans="1:24" ht="34.5" x14ac:dyDescent="0.7">
      <c r="A1" s="165" t="s">
        <v>11</v>
      </c>
      <c r="B1" s="165"/>
      <c r="C1" s="165"/>
      <c r="D1" s="165"/>
      <c r="E1" s="165"/>
      <c r="F1" s="165"/>
      <c r="G1" s="165"/>
      <c r="H1" s="165"/>
      <c r="K1" s="88"/>
      <c r="L1" s="88"/>
      <c r="M1" s="89"/>
      <c r="N1" s="90"/>
      <c r="O1" s="90"/>
      <c r="P1" s="88"/>
      <c r="S1" s="169" t="s">
        <v>101</v>
      </c>
      <c r="T1" s="169"/>
      <c r="U1" s="169"/>
      <c r="V1" s="169"/>
      <c r="W1" s="169"/>
      <c r="X1" s="169"/>
    </row>
    <row r="2" spans="1:24" ht="31.5" x14ac:dyDescent="0.65">
      <c r="A2" s="166" t="s">
        <v>93</v>
      </c>
      <c r="B2" s="166"/>
      <c r="C2" s="166"/>
      <c r="D2" s="166"/>
      <c r="E2" s="166"/>
      <c r="F2" s="166"/>
      <c r="G2" s="166"/>
      <c r="H2" s="166"/>
      <c r="K2" s="88"/>
      <c r="L2" s="88"/>
      <c r="M2" s="89"/>
      <c r="N2" s="90"/>
      <c r="O2" s="90"/>
      <c r="P2" s="88"/>
      <c r="S2" s="118" t="s">
        <v>60</v>
      </c>
      <c r="T2" s="118" t="s">
        <v>61</v>
      </c>
      <c r="U2" s="130" t="s">
        <v>86</v>
      </c>
      <c r="V2" s="118" t="s">
        <v>62</v>
      </c>
      <c r="W2" s="170" t="s">
        <v>63</v>
      </c>
      <c r="X2" s="170"/>
    </row>
    <row r="3" spans="1:24" ht="31.5" x14ac:dyDescent="0.65">
      <c r="A3" s="76"/>
      <c r="B3" s="76"/>
      <c r="C3" s="76"/>
      <c r="D3" s="76"/>
      <c r="E3" s="76"/>
      <c r="F3" s="76"/>
      <c r="G3" s="76"/>
      <c r="J3" s="74">
        <f>D5+F5</f>
        <v>4872431</v>
      </c>
      <c r="K3" s="88"/>
      <c r="L3" s="88"/>
      <c r="M3" s="89"/>
      <c r="N3" s="90"/>
      <c r="O3" s="90"/>
      <c r="P3" s="88"/>
      <c r="S3" s="106" t="s">
        <v>64</v>
      </c>
      <c r="T3" s="107">
        <v>5</v>
      </c>
      <c r="U3" s="107">
        <v>0</v>
      </c>
      <c r="V3" s="107">
        <v>0</v>
      </c>
      <c r="W3" s="171">
        <f>T3+V3</f>
        <v>5</v>
      </c>
      <c r="X3" s="171"/>
    </row>
    <row r="4" spans="1:24" ht="26.25" x14ac:dyDescent="0.55000000000000004">
      <c r="B4" s="167" t="s">
        <v>6</v>
      </c>
      <c r="C4" s="167"/>
      <c r="D4" s="167" t="s">
        <v>4</v>
      </c>
      <c r="E4" s="167"/>
      <c r="F4" s="167" t="s">
        <v>5</v>
      </c>
      <c r="G4" s="167"/>
      <c r="H4" s="77"/>
      <c r="K4" s="88"/>
      <c r="L4" s="88"/>
      <c r="M4" s="89"/>
      <c r="N4" s="90"/>
      <c r="O4" s="90"/>
      <c r="P4" s="89"/>
      <c r="Q4" s="78"/>
      <c r="S4" s="106" t="s">
        <v>65</v>
      </c>
      <c r="T4" s="107">
        <v>10</v>
      </c>
      <c r="U4" s="107">
        <v>10</v>
      </c>
      <c r="V4" s="107">
        <f>H55</f>
        <v>14738</v>
      </c>
      <c r="W4" s="171">
        <f>SUM(T4:V4)</f>
        <v>14758</v>
      </c>
      <c r="X4" s="171"/>
    </row>
    <row r="5" spans="1:24" ht="30" x14ac:dyDescent="0.8">
      <c r="A5" s="79"/>
      <c r="B5" s="158" t="s">
        <v>0</v>
      </c>
      <c r="C5" s="158"/>
      <c r="D5" s="164">
        <v>4553673.83</v>
      </c>
      <c r="E5" s="164"/>
      <c r="F5" s="164">
        <v>318757.17</v>
      </c>
      <c r="G5" s="164"/>
      <c r="H5" s="80"/>
      <c r="J5" s="74">
        <f>D5*0.07</f>
        <v>318757.16810000001</v>
      </c>
      <c r="K5" s="88"/>
      <c r="L5" s="88"/>
      <c r="M5" s="89"/>
      <c r="N5" s="90"/>
      <c r="O5" s="90"/>
      <c r="P5" s="88"/>
      <c r="S5" s="106" t="s">
        <v>66</v>
      </c>
      <c r="T5" s="107">
        <v>0</v>
      </c>
      <c r="U5" s="107">
        <v>-10</v>
      </c>
      <c r="V5" s="107">
        <f>-N21</f>
        <v>-389</v>
      </c>
      <c r="W5" s="171">
        <f>SUM(T5:V5)</f>
        <v>-399</v>
      </c>
      <c r="X5" s="171"/>
    </row>
    <row r="6" spans="1:24" ht="27.75" x14ac:dyDescent="0.65">
      <c r="A6" s="81"/>
      <c r="B6" s="81"/>
      <c r="C6" s="81"/>
      <c r="D6" s="82"/>
      <c r="E6" s="82"/>
      <c r="F6" s="82"/>
      <c r="G6" s="82"/>
      <c r="H6" s="80"/>
      <c r="J6" s="74">
        <f t="shared" ref="J6:J11" si="0">D6*0.07</f>
        <v>0</v>
      </c>
      <c r="K6" s="88"/>
      <c r="L6" s="88"/>
      <c r="M6" s="89"/>
      <c r="N6" s="90"/>
      <c r="O6" s="90"/>
      <c r="P6" s="89"/>
      <c r="Q6" s="78"/>
      <c r="S6" s="106" t="s">
        <v>67</v>
      </c>
      <c r="T6" s="107">
        <v>-15</v>
      </c>
      <c r="U6" s="107">
        <v>0</v>
      </c>
      <c r="V6" s="107">
        <f>-O21</f>
        <v>-14349</v>
      </c>
      <c r="W6" s="171">
        <f t="shared" ref="W6" si="1">T6+V6</f>
        <v>-14364</v>
      </c>
      <c r="X6" s="171"/>
    </row>
    <row r="7" spans="1:24" ht="27.75" x14ac:dyDescent="0.65">
      <c r="B7" s="158" t="s">
        <v>8</v>
      </c>
      <c r="C7" s="158"/>
      <c r="D7" s="162">
        <v>4419496.21</v>
      </c>
      <c r="E7" s="162"/>
      <c r="F7" s="162">
        <v>309364.73</v>
      </c>
      <c r="G7" s="162"/>
      <c r="H7" s="80"/>
      <c r="J7" s="74">
        <f t="shared" si="0"/>
        <v>309364.73470000003</v>
      </c>
      <c r="K7" s="88"/>
      <c r="L7" s="88"/>
      <c r="M7" s="89"/>
      <c r="N7" s="90"/>
      <c r="O7" s="90"/>
      <c r="P7" s="90"/>
      <c r="Q7" s="83"/>
      <c r="R7" s="101"/>
      <c r="S7" s="106" t="s">
        <v>19</v>
      </c>
      <c r="T7" s="107">
        <f>SUM(T3:T6)</f>
        <v>0</v>
      </c>
      <c r="U7" s="107">
        <f>SUM(U3:U6)</f>
        <v>0</v>
      </c>
      <c r="V7" s="107">
        <f t="shared" ref="V7" si="2">SUM(V3:V6)</f>
        <v>0</v>
      </c>
      <c r="W7" s="172">
        <f>SUM(W3:W6)</f>
        <v>0</v>
      </c>
      <c r="X7" s="172"/>
    </row>
    <row r="8" spans="1:24" ht="27.75" x14ac:dyDescent="0.65">
      <c r="A8" s="79"/>
      <c r="B8" s="158" t="s">
        <v>10</v>
      </c>
      <c r="C8" s="158"/>
      <c r="D8" s="162">
        <f>25467.29+25233.65</f>
        <v>50700.94</v>
      </c>
      <c r="E8" s="162"/>
      <c r="F8" s="162">
        <v>3549.07</v>
      </c>
      <c r="G8" s="162"/>
      <c r="H8" s="80"/>
      <c r="J8" s="74">
        <f t="shared" si="0"/>
        <v>3549.0658000000003</v>
      </c>
      <c r="K8" s="88"/>
      <c r="L8" s="88"/>
      <c r="M8" s="89"/>
      <c r="N8" s="90"/>
      <c r="O8" s="90"/>
      <c r="P8" s="88"/>
      <c r="S8" s="108"/>
      <c r="T8" s="108"/>
      <c r="U8" s="108"/>
      <c r="V8" s="108"/>
      <c r="W8" s="108"/>
      <c r="X8" s="108"/>
    </row>
    <row r="9" spans="1:24" ht="27.75" x14ac:dyDescent="0.65">
      <c r="A9" s="79"/>
      <c r="B9" s="158" t="s">
        <v>9</v>
      </c>
      <c r="C9" s="158"/>
      <c r="D9" s="162">
        <v>9262.5499999999993</v>
      </c>
      <c r="E9" s="162"/>
      <c r="F9" s="162">
        <v>648.38</v>
      </c>
      <c r="G9" s="162"/>
      <c r="H9" s="80"/>
      <c r="J9" s="74">
        <f t="shared" si="0"/>
        <v>648.37850000000003</v>
      </c>
      <c r="K9" s="88"/>
      <c r="L9" s="88"/>
      <c r="M9" s="89"/>
      <c r="N9" s="90"/>
      <c r="O9" s="90"/>
      <c r="P9" s="88"/>
      <c r="S9" s="119"/>
      <c r="T9" s="119"/>
      <c r="U9" s="119"/>
      <c r="V9" s="120" t="s">
        <v>54</v>
      </c>
      <c r="W9" s="121" t="s">
        <v>73</v>
      </c>
      <c r="X9" s="120" t="s">
        <v>74</v>
      </c>
    </row>
    <row r="10" spans="1:24" ht="30" x14ac:dyDescent="0.8">
      <c r="A10" s="79"/>
      <c r="B10" s="158" t="s">
        <v>59</v>
      </c>
      <c r="C10" s="158"/>
      <c r="D10" s="163">
        <v>4000</v>
      </c>
      <c r="E10" s="163"/>
      <c r="F10" s="163">
        <v>280</v>
      </c>
      <c r="G10" s="163"/>
      <c r="H10" s="84"/>
      <c r="J10" s="74">
        <f t="shared" si="0"/>
        <v>280</v>
      </c>
      <c r="K10" s="88"/>
      <c r="L10" s="88"/>
      <c r="M10" s="89"/>
      <c r="N10" s="90"/>
      <c r="O10" s="90"/>
      <c r="P10" s="88"/>
      <c r="S10" s="103" t="s">
        <v>69</v>
      </c>
      <c r="T10" s="100" t="s">
        <v>87</v>
      </c>
      <c r="V10" s="111">
        <v>328</v>
      </c>
      <c r="W10" s="112">
        <f>-V5</f>
        <v>389</v>
      </c>
      <c r="X10" s="114">
        <f t="shared" ref="X10:X15" si="3">V10*W10</f>
        <v>127592</v>
      </c>
    </row>
    <row r="11" spans="1:24" ht="30" x14ac:dyDescent="0.8">
      <c r="A11" s="79"/>
      <c r="B11" s="158" t="s">
        <v>2</v>
      </c>
      <c r="C11" s="158"/>
      <c r="D11" s="159">
        <f>SUM(D7:E10)</f>
        <v>4483459.7</v>
      </c>
      <c r="E11" s="160"/>
      <c r="F11" s="159">
        <f>SUM(F7:G10)</f>
        <v>313842.18</v>
      </c>
      <c r="G11" s="159"/>
      <c r="H11" s="77"/>
      <c r="J11" s="74">
        <f t="shared" si="0"/>
        <v>313842.17900000006</v>
      </c>
      <c r="K11" s="88"/>
      <c r="L11" s="88"/>
      <c r="M11" s="90"/>
      <c r="N11" s="90"/>
      <c r="O11" s="90"/>
      <c r="P11" s="88"/>
      <c r="T11" s="100" t="s">
        <v>88</v>
      </c>
      <c r="V11" s="111">
        <v>1250</v>
      </c>
      <c r="W11" s="112">
        <v>10</v>
      </c>
      <c r="X11" s="114">
        <f t="shared" si="3"/>
        <v>12500</v>
      </c>
    </row>
    <row r="12" spans="1:24" ht="27.75" x14ac:dyDescent="0.65">
      <c r="A12" s="85"/>
      <c r="B12" s="85"/>
      <c r="C12" s="85"/>
      <c r="D12" s="86"/>
      <c r="E12" s="85"/>
      <c r="F12" s="86"/>
      <c r="G12" s="85"/>
      <c r="H12" s="77"/>
      <c r="S12" s="103" t="s">
        <v>70</v>
      </c>
      <c r="T12" s="100" t="s">
        <v>71</v>
      </c>
      <c r="V12" s="111">
        <v>100</v>
      </c>
      <c r="W12" s="112">
        <v>15</v>
      </c>
      <c r="X12" s="114">
        <f t="shared" si="3"/>
        <v>1500</v>
      </c>
    </row>
    <row r="13" spans="1:24" ht="30" x14ac:dyDescent="0.8">
      <c r="A13" s="161" t="s">
        <v>3</v>
      </c>
      <c r="B13" s="161"/>
      <c r="C13" s="161"/>
      <c r="D13" s="161"/>
      <c r="E13" s="161"/>
      <c r="F13" s="159">
        <f>F5-F11</f>
        <v>4914.9899999999907</v>
      </c>
      <c r="G13" s="160"/>
      <c r="H13" s="77"/>
      <c r="T13" s="100" t="s">
        <v>72</v>
      </c>
      <c r="V13" s="111">
        <v>328</v>
      </c>
      <c r="W13" s="112">
        <f>-V6</f>
        <v>14349</v>
      </c>
      <c r="X13" s="114">
        <f t="shared" si="3"/>
        <v>4706472</v>
      </c>
    </row>
    <row r="14" spans="1:24" x14ac:dyDescent="0.55000000000000004">
      <c r="V14" s="111"/>
      <c r="W14" s="112"/>
      <c r="X14" s="114">
        <f t="shared" si="3"/>
        <v>0</v>
      </c>
    </row>
    <row r="15" spans="1:24" x14ac:dyDescent="0.55000000000000004">
      <c r="V15" s="111"/>
      <c r="W15" s="112"/>
      <c r="X15" s="114">
        <f t="shared" si="3"/>
        <v>0</v>
      </c>
    </row>
    <row r="16" spans="1:24" x14ac:dyDescent="0.55000000000000004">
      <c r="V16" s="111"/>
      <c r="W16" s="112"/>
      <c r="X16" s="114">
        <f t="shared" ref="X16:X18" si="4">V16*W16</f>
        <v>0</v>
      </c>
    </row>
    <row r="17" spans="1:27" x14ac:dyDescent="0.55000000000000004">
      <c r="V17" s="111"/>
      <c r="W17" s="112">
        <f>O53</f>
        <v>0</v>
      </c>
      <c r="X17" s="114">
        <f t="shared" si="4"/>
        <v>0</v>
      </c>
    </row>
    <row r="18" spans="1:27" x14ac:dyDescent="0.55000000000000004">
      <c r="V18" s="111"/>
      <c r="W18" s="112"/>
      <c r="X18" s="115">
        <f t="shared" si="4"/>
        <v>0</v>
      </c>
      <c r="Z18" s="110">
        <f>SUM(W13:W18)</f>
        <v>14349</v>
      </c>
    </row>
    <row r="19" spans="1:27" x14ac:dyDescent="0.55000000000000004">
      <c r="C19" s="73"/>
      <c r="E19" s="74"/>
      <c r="S19" s="168" t="s">
        <v>63</v>
      </c>
      <c r="T19" s="168"/>
      <c r="U19" s="168"/>
      <c r="V19" s="168"/>
      <c r="W19" s="168"/>
      <c r="X19" s="113">
        <f>SUM(X10:X18)</f>
        <v>4848064</v>
      </c>
      <c r="Z19" s="87">
        <f>SUM(X13:X18)</f>
        <v>4706472</v>
      </c>
    </row>
    <row r="20" spans="1:27" x14ac:dyDescent="0.55000000000000004">
      <c r="C20" s="73"/>
      <c r="E20" s="74"/>
      <c r="S20" s="122"/>
      <c r="T20" s="122"/>
      <c r="U20" s="122"/>
      <c r="V20" s="123" t="s">
        <v>75</v>
      </c>
      <c r="W20" s="123" t="s">
        <v>76</v>
      </c>
      <c r="X20" s="123"/>
    </row>
    <row r="21" spans="1:27" x14ac:dyDescent="0.55000000000000004">
      <c r="A21" s="88"/>
      <c r="B21" s="88"/>
      <c r="C21" s="89"/>
      <c r="D21" s="88"/>
      <c r="E21" s="90"/>
      <c r="F21" s="88"/>
      <c r="G21" s="88"/>
      <c r="H21" s="88"/>
      <c r="I21" s="88"/>
      <c r="J21" s="88"/>
      <c r="K21" s="88"/>
      <c r="L21" s="88"/>
      <c r="M21" s="88" t="s">
        <v>49</v>
      </c>
      <c r="N21" s="88">
        <f>SUM(M22:M54)</f>
        <v>389</v>
      </c>
      <c r="O21" s="88">
        <f>SUM(O22:O53)</f>
        <v>14349</v>
      </c>
      <c r="P21" s="88">
        <f>N21+O21</f>
        <v>14738</v>
      </c>
      <c r="S21" s="103" t="s">
        <v>77</v>
      </c>
      <c r="V21" s="100">
        <v>0.1</v>
      </c>
      <c r="W21" s="107">
        <v>221590</v>
      </c>
      <c r="X21" s="116">
        <f>W21*V21</f>
        <v>22159</v>
      </c>
      <c r="Z21" s="96">
        <f>ROUND(X21*7/107,2)</f>
        <v>1449.65</v>
      </c>
      <c r="AA21" s="96">
        <f>X21-Z21</f>
        <v>20709.349999999999</v>
      </c>
    </row>
    <row r="22" spans="1:27" x14ac:dyDescent="0.55000000000000004">
      <c r="A22" s="88">
        <v>1</v>
      </c>
      <c r="B22" s="91">
        <v>500</v>
      </c>
      <c r="C22" s="92">
        <f>ROUND(B22*D22,2)</f>
        <v>149170.5</v>
      </c>
      <c r="D22" s="93">
        <f>149170.5/500</f>
        <v>298.34100000000001</v>
      </c>
      <c r="E22" s="94">
        <f>C22*0.07</f>
        <v>10441.935000000001</v>
      </c>
      <c r="F22" s="91"/>
      <c r="G22" s="91"/>
      <c r="H22" s="88"/>
      <c r="I22" s="95">
        <f t="shared" ref="I22:I54" si="5">D22+30</f>
        <v>328.34100000000001</v>
      </c>
      <c r="J22" s="89">
        <f>B22*I22</f>
        <v>164170.5</v>
      </c>
      <c r="K22" s="88"/>
      <c r="L22" s="88"/>
      <c r="M22" s="88">
        <v>53</v>
      </c>
      <c r="N22" s="88"/>
      <c r="O22" s="88">
        <f>H22-M22</f>
        <v>-53</v>
      </c>
      <c r="P22" s="95">
        <f>ROUND(I22,0)</f>
        <v>328</v>
      </c>
      <c r="Q22" s="75">
        <f>O22*P22</f>
        <v>-17384</v>
      </c>
      <c r="S22" s="103" t="s">
        <v>78</v>
      </c>
      <c r="V22" s="100">
        <v>1.1499999999999999</v>
      </c>
      <c r="W22" s="107">
        <v>1920</v>
      </c>
      <c r="X22" s="116">
        <f>W22*V22</f>
        <v>2208</v>
      </c>
      <c r="Z22" s="96">
        <f>ROUND(X22*7/107,2)</f>
        <v>144.44999999999999</v>
      </c>
      <c r="AA22" s="96">
        <f>X22-Z22</f>
        <v>2063.5500000000002</v>
      </c>
    </row>
    <row r="23" spans="1:27" x14ac:dyDescent="0.55000000000000004">
      <c r="A23" s="88">
        <v>2</v>
      </c>
      <c r="B23" s="91">
        <v>499</v>
      </c>
      <c r="C23" s="92">
        <f t="shared" ref="C23:C57" si="6">ROUND(B23*D23,2)</f>
        <v>148872.16</v>
      </c>
      <c r="D23" s="93">
        <f>152153.91/510</f>
        <v>298.34100000000001</v>
      </c>
      <c r="E23" s="94">
        <f t="shared" ref="E23" si="7">C23*0.07</f>
        <v>10421.051200000002</v>
      </c>
      <c r="F23" s="91"/>
      <c r="G23" s="91"/>
      <c r="H23" s="88"/>
      <c r="I23" s="95">
        <f t="shared" si="5"/>
        <v>328.34100000000001</v>
      </c>
      <c r="J23" s="89">
        <f>B23*I23</f>
        <v>163842.15900000001</v>
      </c>
      <c r="K23" s="88"/>
      <c r="L23" s="88"/>
      <c r="M23" s="88"/>
      <c r="N23" s="88"/>
      <c r="O23" s="88">
        <f>H23-M23</f>
        <v>0</v>
      </c>
      <c r="P23" s="95">
        <f>ROUND(I23,0)</f>
        <v>328</v>
      </c>
      <c r="Q23" s="75">
        <f>O23*P23</f>
        <v>0</v>
      </c>
      <c r="S23" s="168" t="s">
        <v>63</v>
      </c>
      <c r="T23" s="168"/>
      <c r="U23" s="168"/>
      <c r="V23" s="168"/>
      <c r="W23" s="168"/>
      <c r="X23" s="117">
        <f>SUM(X21:X22)</f>
        <v>24367</v>
      </c>
    </row>
    <row r="24" spans="1:27" x14ac:dyDescent="0.55000000000000004">
      <c r="A24" s="88">
        <v>3</v>
      </c>
      <c r="B24" s="91">
        <v>510</v>
      </c>
      <c r="C24" s="92">
        <f t="shared" si="6"/>
        <v>152153.91</v>
      </c>
      <c r="D24" s="93">
        <f t="shared" ref="D24:D38" si="8">152153.91/510</f>
        <v>298.34100000000001</v>
      </c>
      <c r="E24" s="94">
        <f t="shared" ref="E24:E54" si="9">C24*0.07</f>
        <v>10650.773700000002</v>
      </c>
      <c r="F24" s="91"/>
      <c r="G24" s="91"/>
      <c r="H24" s="88"/>
      <c r="I24" s="95">
        <f t="shared" si="5"/>
        <v>328.34100000000001</v>
      </c>
      <c r="J24" s="89">
        <f t="shared" ref="J24:J54" si="10">B24*I24</f>
        <v>167453.91</v>
      </c>
      <c r="K24" s="88"/>
      <c r="L24" s="88"/>
      <c r="M24" s="88"/>
      <c r="N24" s="88"/>
      <c r="O24" s="88">
        <f t="shared" ref="O24:O54" si="11">H24-M24</f>
        <v>0</v>
      </c>
      <c r="P24" s="95">
        <f t="shared" ref="P24:P54" si="12">ROUND(I24,0)</f>
        <v>328</v>
      </c>
      <c r="Q24" s="75">
        <f t="shared" ref="Q24:Q54" si="13">O24*P24</f>
        <v>0</v>
      </c>
    </row>
    <row r="25" spans="1:27" x14ac:dyDescent="0.55000000000000004">
      <c r="A25" s="88">
        <v>4</v>
      </c>
      <c r="B25" s="91">
        <v>505</v>
      </c>
      <c r="C25" s="92">
        <f>ROUND(B25*D25,2)</f>
        <v>150662.21</v>
      </c>
      <c r="D25" s="93">
        <f t="shared" si="8"/>
        <v>298.34100000000001</v>
      </c>
      <c r="E25" s="94">
        <f t="shared" ref="E25:E26" si="14">C25*0.07</f>
        <v>10546.3547</v>
      </c>
      <c r="F25" s="91"/>
      <c r="G25" s="91"/>
      <c r="H25" s="88"/>
      <c r="I25" s="95">
        <f>D25+30</f>
        <v>328.34100000000001</v>
      </c>
      <c r="J25" s="89">
        <f>B25*I25</f>
        <v>165812.20500000002</v>
      </c>
      <c r="K25" s="88"/>
      <c r="L25" s="88"/>
      <c r="M25" s="88"/>
      <c r="N25" s="88"/>
      <c r="O25" s="88">
        <f>H25-M25</f>
        <v>0</v>
      </c>
      <c r="P25" s="95">
        <f t="shared" si="12"/>
        <v>328</v>
      </c>
      <c r="Q25" s="75">
        <f t="shared" si="13"/>
        <v>0</v>
      </c>
    </row>
    <row r="26" spans="1:27" x14ac:dyDescent="0.55000000000000004">
      <c r="A26" s="88">
        <v>5</v>
      </c>
      <c r="B26" s="91">
        <v>520</v>
      </c>
      <c r="C26" s="92">
        <f t="shared" ref="C26" si="15">ROUND(B26*D26,2)</f>
        <v>155137.32</v>
      </c>
      <c r="D26" s="93">
        <f t="shared" si="8"/>
        <v>298.34100000000001</v>
      </c>
      <c r="E26" s="94">
        <f t="shared" si="14"/>
        <v>10859.612400000002</v>
      </c>
      <c r="F26" s="91"/>
      <c r="G26" s="91"/>
      <c r="H26" s="129"/>
      <c r="I26" s="95">
        <f t="shared" si="5"/>
        <v>328.34100000000001</v>
      </c>
      <c r="J26" s="89">
        <f>B26*I26</f>
        <v>170737.32</v>
      </c>
      <c r="K26" s="88"/>
      <c r="L26" s="88"/>
      <c r="M26" s="88">
        <v>55</v>
      </c>
      <c r="N26" s="88"/>
      <c r="O26" s="129">
        <f>H26-M26</f>
        <v>-55</v>
      </c>
      <c r="P26" s="95">
        <f t="shared" si="12"/>
        <v>328</v>
      </c>
      <c r="Q26" s="75">
        <f t="shared" si="13"/>
        <v>-18040</v>
      </c>
      <c r="T26" s="105" t="s">
        <v>0</v>
      </c>
      <c r="U26" s="105"/>
      <c r="V26" s="102">
        <f>V29-V28</f>
        <v>4553673.83</v>
      </c>
      <c r="W26" s="105" t="s">
        <v>8</v>
      </c>
      <c r="X26" s="101">
        <f>C63</f>
        <v>4419496.21</v>
      </c>
    </row>
    <row r="27" spans="1:27" x14ac:dyDescent="0.55000000000000004">
      <c r="A27" s="88">
        <v>6</v>
      </c>
      <c r="B27" s="91">
        <v>506</v>
      </c>
      <c r="C27" s="92">
        <f t="shared" ref="C27" si="16">ROUND(B27*D27,2)</f>
        <v>150960.54999999999</v>
      </c>
      <c r="D27" s="93">
        <f t="shared" si="8"/>
        <v>298.34100000000001</v>
      </c>
      <c r="E27" s="94">
        <f t="shared" ref="E27" si="17">C27*0.07</f>
        <v>10567.238499999999</v>
      </c>
      <c r="F27" s="91"/>
      <c r="G27" s="91"/>
      <c r="H27" s="88"/>
      <c r="I27" s="95">
        <f t="shared" ref="I27" si="18">D27+30</f>
        <v>328.34100000000001</v>
      </c>
      <c r="J27" s="89">
        <f t="shared" ref="J27" si="19">B27*I27</f>
        <v>166140.546</v>
      </c>
      <c r="K27" s="88"/>
      <c r="L27" s="88"/>
      <c r="M27" s="88"/>
      <c r="N27" s="88"/>
      <c r="O27" s="129">
        <f>H27-M27</f>
        <v>0</v>
      </c>
      <c r="P27" s="95">
        <f>ROUND(I27,0)</f>
        <v>328</v>
      </c>
      <c r="Q27" s="75">
        <f t="shared" si="13"/>
        <v>0</v>
      </c>
      <c r="T27" s="105"/>
      <c r="U27" s="105"/>
      <c r="V27" s="102"/>
      <c r="W27" s="105"/>
      <c r="X27" s="101"/>
    </row>
    <row r="28" spans="1:27" x14ac:dyDescent="0.55000000000000004">
      <c r="A28" s="88">
        <v>7</v>
      </c>
      <c r="B28" s="91">
        <v>520</v>
      </c>
      <c r="C28" s="92">
        <f t="shared" si="6"/>
        <v>155137.32</v>
      </c>
      <c r="D28" s="93">
        <f t="shared" si="8"/>
        <v>298.34100000000001</v>
      </c>
      <c r="E28" s="94">
        <f t="shared" si="9"/>
        <v>10859.612400000002</v>
      </c>
      <c r="F28" s="91"/>
      <c r="G28" s="91"/>
      <c r="H28" s="88"/>
      <c r="I28" s="95">
        <f t="shared" si="5"/>
        <v>328.34100000000001</v>
      </c>
      <c r="J28" s="89">
        <f t="shared" si="10"/>
        <v>170737.32</v>
      </c>
      <c r="K28" s="88"/>
      <c r="L28" s="88"/>
      <c r="M28" s="88"/>
      <c r="N28" s="88"/>
      <c r="O28" s="88">
        <f>H28-M28</f>
        <v>0</v>
      </c>
      <c r="P28" s="95">
        <f t="shared" si="12"/>
        <v>328</v>
      </c>
      <c r="Q28" s="75">
        <f>O28*P28</f>
        <v>0</v>
      </c>
      <c r="V28" s="102">
        <f>ROUND(V29*7/107,2)</f>
        <v>318757.17</v>
      </c>
      <c r="X28" s="101">
        <f>E63</f>
        <v>309364.73470000003</v>
      </c>
    </row>
    <row r="29" spans="1:27" x14ac:dyDescent="0.55000000000000004">
      <c r="A29" s="88">
        <v>8</v>
      </c>
      <c r="B29" s="91">
        <v>515</v>
      </c>
      <c r="C29" s="92">
        <f t="shared" si="6"/>
        <v>153645.62</v>
      </c>
      <c r="D29" s="93">
        <f t="shared" si="8"/>
        <v>298.34100000000001</v>
      </c>
      <c r="E29" s="94">
        <f t="shared" si="9"/>
        <v>10755.1934</v>
      </c>
      <c r="F29" s="91"/>
      <c r="G29" s="91"/>
      <c r="H29" s="88"/>
      <c r="I29" s="95">
        <f t="shared" si="5"/>
        <v>328.34100000000001</v>
      </c>
      <c r="J29" s="89">
        <f t="shared" si="10"/>
        <v>169095.61499999999</v>
      </c>
      <c r="K29" s="88"/>
      <c r="L29" s="88"/>
      <c r="M29" s="88"/>
      <c r="N29" s="88"/>
      <c r="O29" s="88">
        <f t="shared" si="11"/>
        <v>0</v>
      </c>
      <c r="P29" s="95">
        <f t="shared" si="12"/>
        <v>328</v>
      </c>
      <c r="Q29" s="75">
        <f t="shared" si="13"/>
        <v>0</v>
      </c>
      <c r="V29" s="102">
        <f>X19+X23</f>
        <v>4872431</v>
      </c>
      <c r="X29" s="102">
        <f>X26+X28</f>
        <v>4728860.9446999999</v>
      </c>
    </row>
    <row r="30" spans="1:27" x14ac:dyDescent="0.55000000000000004">
      <c r="A30" s="88">
        <v>9</v>
      </c>
      <c r="B30" s="91">
        <v>501</v>
      </c>
      <c r="C30" s="92">
        <f t="shared" si="6"/>
        <v>149468.84</v>
      </c>
      <c r="D30" s="93">
        <f t="shared" si="8"/>
        <v>298.34100000000001</v>
      </c>
      <c r="E30" s="94">
        <f t="shared" si="9"/>
        <v>10462.818800000001</v>
      </c>
      <c r="F30" s="91"/>
      <c r="G30" s="91"/>
      <c r="H30" s="88"/>
      <c r="I30" s="95">
        <f t="shared" si="5"/>
        <v>328.34100000000001</v>
      </c>
      <c r="J30" s="89">
        <f t="shared" si="10"/>
        <v>164498.84100000001</v>
      </c>
      <c r="K30" s="88"/>
      <c r="L30" s="88"/>
      <c r="M30" s="88">
        <v>50</v>
      </c>
      <c r="N30" s="88"/>
      <c r="O30" s="88">
        <f>H30-M30</f>
        <v>-50</v>
      </c>
      <c r="P30" s="95">
        <f t="shared" si="12"/>
        <v>328</v>
      </c>
      <c r="Q30" s="75">
        <f t="shared" si="13"/>
        <v>-16400</v>
      </c>
      <c r="S30" s="108"/>
      <c r="T30" s="108"/>
      <c r="U30" s="108"/>
      <c r="V30" s="108"/>
      <c r="W30" s="108"/>
      <c r="X30" s="108"/>
    </row>
    <row r="31" spans="1:27" x14ac:dyDescent="0.55000000000000004">
      <c r="A31" s="88">
        <v>10</v>
      </c>
      <c r="B31" s="91">
        <v>500</v>
      </c>
      <c r="C31" s="92">
        <f t="shared" si="6"/>
        <v>149170.5</v>
      </c>
      <c r="D31" s="93">
        <f t="shared" si="8"/>
        <v>298.34100000000001</v>
      </c>
      <c r="E31" s="94">
        <f t="shared" si="9"/>
        <v>10441.935000000001</v>
      </c>
      <c r="F31" s="91"/>
      <c r="G31" s="91"/>
      <c r="H31" s="88"/>
      <c r="I31" s="95">
        <f t="shared" si="5"/>
        <v>328.34100000000001</v>
      </c>
      <c r="J31" s="89">
        <f t="shared" si="10"/>
        <v>164170.5</v>
      </c>
      <c r="K31" s="88"/>
      <c r="L31" s="88"/>
      <c r="M31" s="88"/>
      <c r="N31" s="88"/>
      <c r="O31" s="88">
        <f t="shared" si="11"/>
        <v>0</v>
      </c>
      <c r="P31" s="95">
        <f t="shared" si="12"/>
        <v>328</v>
      </c>
      <c r="Q31" s="75">
        <f t="shared" si="13"/>
        <v>0</v>
      </c>
    </row>
    <row r="32" spans="1:27" x14ac:dyDescent="0.55000000000000004">
      <c r="A32" s="88">
        <v>11</v>
      </c>
      <c r="B32" s="91">
        <v>505</v>
      </c>
      <c r="C32" s="92">
        <f t="shared" si="6"/>
        <v>150662.21</v>
      </c>
      <c r="D32" s="93">
        <f t="shared" si="8"/>
        <v>298.34100000000001</v>
      </c>
      <c r="E32" s="94">
        <f t="shared" si="9"/>
        <v>10546.3547</v>
      </c>
      <c r="F32" s="91"/>
      <c r="G32" s="91"/>
      <c r="H32" s="88"/>
      <c r="I32" s="95">
        <f t="shared" si="5"/>
        <v>328.34100000000001</v>
      </c>
      <c r="J32" s="89">
        <f t="shared" si="10"/>
        <v>165812.20500000002</v>
      </c>
      <c r="K32" s="88"/>
      <c r="L32" s="88"/>
      <c r="M32" s="88"/>
      <c r="N32" s="88"/>
      <c r="O32" s="88">
        <f>H32-M32</f>
        <v>0</v>
      </c>
      <c r="P32" s="95">
        <f t="shared" si="12"/>
        <v>328</v>
      </c>
      <c r="Q32" s="75">
        <f t="shared" si="13"/>
        <v>0</v>
      </c>
    </row>
    <row r="33" spans="1:17" x14ac:dyDescent="0.55000000000000004">
      <c r="A33" s="88">
        <v>12</v>
      </c>
      <c r="B33" s="91">
        <v>509</v>
      </c>
      <c r="C33" s="92">
        <f t="shared" si="6"/>
        <v>151855.57</v>
      </c>
      <c r="D33" s="93">
        <f t="shared" si="8"/>
        <v>298.34100000000001</v>
      </c>
      <c r="E33" s="94">
        <f t="shared" si="9"/>
        <v>10629.889900000002</v>
      </c>
      <c r="F33" s="91"/>
      <c r="G33" s="91"/>
      <c r="H33" s="88"/>
      <c r="I33" s="95">
        <f t="shared" si="5"/>
        <v>328.34100000000001</v>
      </c>
      <c r="J33" s="89">
        <f t="shared" si="10"/>
        <v>167125.56900000002</v>
      </c>
      <c r="K33" s="88"/>
      <c r="L33" s="88"/>
      <c r="M33" s="88"/>
      <c r="N33" s="88"/>
      <c r="O33" s="88">
        <f t="shared" si="11"/>
        <v>0</v>
      </c>
      <c r="P33" s="95">
        <f t="shared" si="12"/>
        <v>328</v>
      </c>
      <c r="Q33" s="75">
        <f t="shared" si="13"/>
        <v>0</v>
      </c>
    </row>
    <row r="34" spans="1:17" x14ac:dyDescent="0.55000000000000004">
      <c r="A34" s="88">
        <v>13</v>
      </c>
      <c r="B34" s="91">
        <v>510</v>
      </c>
      <c r="C34" s="92">
        <f t="shared" si="6"/>
        <v>152153.91</v>
      </c>
      <c r="D34" s="93">
        <f t="shared" si="8"/>
        <v>298.34100000000001</v>
      </c>
      <c r="E34" s="94">
        <f t="shared" si="9"/>
        <v>10650.773700000002</v>
      </c>
      <c r="F34" s="91"/>
      <c r="G34" s="91"/>
      <c r="H34" s="88"/>
      <c r="I34" s="95">
        <f t="shared" si="5"/>
        <v>328.34100000000001</v>
      </c>
      <c r="J34" s="89">
        <f t="shared" si="10"/>
        <v>167453.91</v>
      </c>
      <c r="K34" s="88"/>
      <c r="L34" s="88"/>
      <c r="M34" s="88">
        <v>52</v>
      </c>
      <c r="N34" s="88"/>
      <c r="O34" s="88">
        <f>H34-M34</f>
        <v>-52</v>
      </c>
      <c r="P34" s="95">
        <f t="shared" si="12"/>
        <v>328</v>
      </c>
      <c r="Q34" s="75">
        <f t="shared" si="13"/>
        <v>-17056</v>
      </c>
    </row>
    <row r="35" spans="1:17" x14ac:dyDescent="0.55000000000000004">
      <c r="A35" s="88">
        <v>14</v>
      </c>
      <c r="B35" s="91">
        <v>510</v>
      </c>
      <c r="C35" s="92">
        <f t="shared" si="6"/>
        <v>152153.91</v>
      </c>
      <c r="D35" s="93">
        <f t="shared" si="8"/>
        <v>298.34100000000001</v>
      </c>
      <c r="E35" s="94">
        <f t="shared" si="9"/>
        <v>10650.773700000002</v>
      </c>
      <c r="F35" s="91"/>
      <c r="G35" s="91"/>
      <c r="H35" s="88"/>
      <c r="I35" s="95">
        <f t="shared" si="5"/>
        <v>328.34100000000001</v>
      </c>
      <c r="J35" s="89">
        <f t="shared" si="10"/>
        <v>167453.91</v>
      </c>
      <c r="K35" s="88"/>
      <c r="L35" s="88"/>
      <c r="M35" s="88"/>
      <c r="N35" s="88"/>
      <c r="O35" s="88">
        <f t="shared" si="11"/>
        <v>0</v>
      </c>
      <c r="P35" s="95">
        <f t="shared" si="12"/>
        <v>328</v>
      </c>
      <c r="Q35" s="75">
        <f t="shared" si="13"/>
        <v>0</v>
      </c>
    </row>
    <row r="36" spans="1:17" x14ac:dyDescent="0.55000000000000004">
      <c r="A36" s="88">
        <v>15</v>
      </c>
      <c r="B36" s="91">
        <v>506</v>
      </c>
      <c r="C36" s="92">
        <f t="shared" si="6"/>
        <v>150960.54999999999</v>
      </c>
      <c r="D36" s="93">
        <f t="shared" si="8"/>
        <v>298.34100000000001</v>
      </c>
      <c r="E36" s="94">
        <f t="shared" si="9"/>
        <v>10567.238499999999</v>
      </c>
      <c r="F36" s="91"/>
      <c r="G36" s="91"/>
      <c r="H36" s="88"/>
      <c r="I36" s="95">
        <f t="shared" si="5"/>
        <v>328.34100000000001</v>
      </c>
      <c r="J36" s="89">
        <f t="shared" si="10"/>
        <v>166140.546</v>
      </c>
      <c r="K36" s="88"/>
      <c r="L36" s="88"/>
      <c r="M36" s="88"/>
      <c r="N36" s="88"/>
      <c r="O36" s="88">
        <f t="shared" si="11"/>
        <v>0</v>
      </c>
      <c r="P36" s="95">
        <f t="shared" si="12"/>
        <v>328</v>
      </c>
      <c r="Q36" s="75">
        <f t="shared" si="13"/>
        <v>0</v>
      </c>
    </row>
    <row r="37" spans="1:17" x14ac:dyDescent="0.55000000000000004">
      <c r="A37" s="88">
        <v>16</v>
      </c>
      <c r="B37" s="91">
        <v>515</v>
      </c>
      <c r="C37" s="92">
        <f t="shared" si="6"/>
        <v>153645.62</v>
      </c>
      <c r="D37" s="93">
        <f t="shared" si="8"/>
        <v>298.34100000000001</v>
      </c>
      <c r="E37" s="94">
        <f t="shared" si="9"/>
        <v>10755.1934</v>
      </c>
      <c r="F37" s="91"/>
      <c r="G37" s="91"/>
      <c r="H37" s="88"/>
      <c r="I37" s="95">
        <f t="shared" si="5"/>
        <v>328.34100000000001</v>
      </c>
      <c r="J37" s="89">
        <f t="shared" si="10"/>
        <v>169095.61499999999</v>
      </c>
      <c r="K37" s="88"/>
      <c r="L37" s="88"/>
      <c r="M37" s="88"/>
      <c r="N37" s="88"/>
      <c r="O37" s="88">
        <f t="shared" si="11"/>
        <v>0</v>
      </c>
      <c r="P37" s="95">
        <f t="shared" si="12"/>
        <v>328</v>
      </c>
      <c r="Q37" s="75">
        <f t="shared" si="13"/>
        <v>0</v>
      </c>
    </row>
    <row r="38" spans="1:17" x14ac:dyDescent="0.55000000000000004">
      <c r="A38" s="88">
        <v>17</v>
      </c>
      <c r="B38" s="91">
        <v>501</v>
      </c>
      <c r="C38" s="92">
        <f t="shared" si="6"/>
        <v>149468.84</v>
      </c>
      <c r="D38" s="93">
        <f t="shared" si="8"/>
        <v>298.34100000000001</v>
      </c>
      <c r="E38" s="94">
        <f t="shared" si="9"/>
        <v>10462.818800000001</v>
      </c>
      <c r="F38" s="91"/>
      <c r="G38" s="91"/>
      <c r="H38" s="88"/>
      <c r="I38" s="95">
        <f t="shared" si="5"/>
        <v>328.34100000000001</v>
      </c>
      <c r="J38" s="89">
        <f t="shared" si="10"/>
        <v>164498.84100000001</v>
      </c>
      <c r="K38" s="88"/>
      <c r="L38" s="88"/>
      <c r="M38" s="88">
        <v>47</v>
      </c>
      <c r="N38" s="88"/>
      <c r="O38" s="88">
        <f t="shared" si="11"/>
        <v>-47</v>
      </c>
      <c r="P38" s="95">
        <f t="shared" si="12"/>
        <v>328</v>
      </c>
      <c r="Q38" s="75">
        <f t="shared" si="13"/>
        <v>-15416</v>
      </c>
    </row>
    <row r="39" spans="1:17" x14ac:dyDescent="0.55000000000000004">
      <c r="A39" s="88">
        <v>18</v>
      </c>
      <c r="B39" s="91">
        <v>520</v>
      </c>
      <c r="C39" s="92">
        <f t="shared" si="6"/>
        <v>155137.32</v>
      </c>
      <c r="D39" s="93">
        <f t="shared" ref="D39:D50" si="20">149170.5/500</f>
        <v>298.34100000000001</v>
      </c>
      <c r="E39" s="94">
        <f t="shared" si="9"/>
        <v>10859.612400000002</v>
      </c>
      <c r="F39" s="91"/>
      <c r="G39" s="91"/>
      <c r="H39" s="88"/>
      <c r="I39" s="95">
        <f t="shared" si="5"/>
        <v>328.34100000000001</v>
      </c>
      <c r="J39" s="89">
        <f t="shared" si="10"/>
        <v>170737.32</v>
      </c>
      <c r="K39" s="88"/>
      <c r="L39" s="88"/>
      <c r="M39" s="88"/>
      <c r="N39" s="88"/>
      <c r="O39" s="88">
        <f t="shared" si="11"/>
        <v>0</v>
      </c>
      <c r="P39" s="95">
        <f t="shared" si="12"/>
        <v>328</v>
      </c>
      <c r="Q39" s="75">
        <f t="shared" si="13"/>
        <v>0</v>
      </c>
    </row>
    <row r="40" spans="1:17" x14ac:dyDescent="0.55000000000000004">
      <c r="A40" s="88">
        <v>19</v>
      </c>
      <c r="B40" s="91"/>
      <c r="C40" s="92">
        <f t="shared" si="6"/>
        <v>0</v>
      </c>
      <c r="D40" s="93">
        <f t="shared" si="20"/>
        <v>298.34100000000001</v>
      </c>
      <c r="E40" s="94">
        <f t="shared" si="9"/>
        <v>0</v>
      </c>
      <c r="F40" s="91"/>
      <c r="G40" s="91"/>
      <c r="H40" s="88"/>
      <c r="I40" s="95">
        <f t="shared" si="5"/>
        <v>328.34100000000001</v>
      </c>
      <c r="J40" s="89">
        <f t="shared" si="10"/>
        <v>0</v>
      </c>
      <c r="K40" s="88"/>
      <c r="L40" s="88"/>
      <c r="M40" s="88"/>
      <c r="N40" s="88"/>
      <c r="O40" s="88">
        <f t="shared" si="11"/>
        <v>0</v>
      </c>
      <c r="P40" s="95">
        <f t="shared" si="12"/>
        <v>328</v>
      </c>
      <c r="Q40" s="75">
        <f t="shared" si="13"/>
        <v>0</v>
      </c>
    </row>
    <row r="41" spans="1:17" x14ac:dyDescent="0.55000000000000004">
      <c r="A41" s="88">
        <v>20</v>
      </c>
      <c r="B41" s="91">
        <v>506</v>
      </c>
      <c r="C41" s="92">
        <f t="shared" si="6"/>
        <v>150960.54999999999</v>
      </c>
      <c r="D41" s="93">
        <f t="shared" si="20"/>
        <v>298.34100000000001</v>
      </c>
      <c r="E41" s="94">
        <f t="shared" si="9"/>
        <v>10567.238499999999</v>
      </c>
      <c r="F41" s="91"/>
      <c r="G41" s="91"/>
      <c r="H41" s="88"/>
      <c r="I41" s="95">
        <f t="shared" si="5"/>
        <v>328.34100000000001</v>
      </c>
      <c r="J41" s="89">
        <f>B41*I41</f>
        <v>166140.546</v>
      </c>
      <c r="K41" s="88"/>
      <c r="L41" s="88"/>
      <c r="M41" s="88"/>
      <c r="N41" s="88"/>
      <c r="O41" s="88">
        <f t="shared" si="11"/>
        <v>0</v>
      </c>
      <c r="P41" s="95">
        <f t="shared" si="12"/>
        <v>328</v>
      </c>
      <c r="Q41" s="75">
        <f t="shared" si="13"/>
        <v>0</v>
      </c>
    </row>
    <row r="42" spans="1:17" x14ac:dyDescent="0.55000000000000004">
      <c r="A42" s="88">
        <v>21</v>
      </c>
      <c r="B42" s="91">
        <v>500</v>
      </c>
      <c r="C42" s="92">
        <f t="shared" si="6"/>
        <v>149170.5</v>
      </c>
      <c r="D42" s="93">
        <f t="shared" si="20"/>
        <v>298.34100000000001</v>
      </c>
      <c r="E42" s="94">
        <f t="shared" si="9"/>
        <v>10441.935000000001</v>
      </c>
      <c r="F42" s="91"/>
      <c r="G42" s="91"/>
      <c r="H42" s="88"/>
      <c r="I42" s="95">
        <f t="shared" si="5"/>
        <v>328.34100000000001</v>
      </c>
      <c r="J42" s="89">
        <f t="shared" si="10"/>
        <v>164170.5</v>
      </c>
      <c r="K42" s="88"/>
      <c r="L42" s="88"/>
      <c r="M42" s="88"/>
      <c r="N42" s="88"/>
      <c r="O42" s="88">
        <f t="shared" si="11"/>
        <v>0</v>
      </c>
      <c r="P42" s="95">
        <f t="shared" si="12"/>
        <v>328</v>
      </c>
      <c r="Q42" s="75">
        <f t="shared" si="13"/>
        <v>0</v>
      </c>
    </row>
    <row r="43" spans="1:17" x14ac:dyDescent="0.55000000000000004">
      <c r="A43" s="88">
        <v>22</v>
      </c>
      <c r="B43" s="91">
        <v>510</v>
      </c>
      <c r="C43" s="92">
        <f t="shared" si="6"/>
        <v>152153.91</v>
      </c>
      <c r="D43" s="93">
        <f t="shared" si="20"/>
        <v>298.34100000000001</v>
      </c>
      <c r="E43" s="94">
        <f t="shared" si="9"/>
        <v>10650.773700000002</v>
      </c>
      <c r="F43" s="91"/>
      <c r="G43" s="91"/>
      <c r="H43" s="88"/>
      <c r="I43" s="95">
        <f t="shared" si="5"/>
        <v>328.34100000000001</v>
      </c>
      <c r="J43" s="89">
        <f t="shared" si="10"/>
        <v>167453.91</v>
      </c>
      <c r="K43" s="88"/>
      <c r="L43" s="88"/>
      <c r="M43" s="88">
        <v>49</v>
      </c>
      <c r="N43" s="88"/>
      <c r="O43" s="88">
        <f t="shared" si="11"/>
        <v>-49</v>
      </c>
      <c r="P43" s="95">
        <f t="shared" si="12"/>
        <v>328</v>
      </c>
      <c r="Q43" s="75">
        <f t="shared" si="13"/>
        <v>-16072</v>
      </c>
    </row>
    <row r="44" spans="1:17" x14ac:dyDescent="0.55000000000000004">
      <c r="A44" s="88">
        <v>23</v>
      </c>
      <c r="B44" s="91">
        <v>506</v>
      </c>
      <c r="C44" s="92">
        <f t="shared" si="6"/>
        <v>150960.54999999999</v>
      </c>
      <c r="D44" s="93">
        <f t="shared" si="20"/>
        <v>298.34100000000001</v>
      </c>
      <c r="E44" s="94">
        <f t="shared" si="9"/>
        <v>10567.238499999999</v>
      </c>
      <c r="F44" s="91"/>
      <c r="G44" s="91"/>
      <c r="H44" s="88"/>
      <c r="I44" s="95">
        <f t="shared" si="5"/>
        <v>328.34100000000001</v>
      </c>
      <c r="J44" s="89">
        <f t="shared" si="10"/>
        <v>166140.546</v>
      </c>
      <c r="K44" s="88"/>
      <c r="L44" s="88"/>
      <c r="M44" s="88"/>
      <c r="N44" s="88"/>
      <c r="O44" s="88">
        <f t="shared" si="11"/>
        <v>0</v>
      </c>
      <c r="P44" s="95">
        <f t="shared" si="12"/>
        <v>328</v>
      </c>
      <c r="Q44" s="75">
        <f t="shared" si="13"/>
        <v>0</v>
      </c>
    </row>
    <row r="45" spans="1:17" x14ac:dyDescent="0.55000000000000004">
      <c r="A45" s="88">
        <v>24</v>
      </c>
      <c r="B45" s="91">
        <v>510</v>
      </c>
      <c r="C45" s="92">
        <f t="shared" si="6"/>
        <v>152153.91</v>
      </c>
      <c r="D45" s="93">
        <f t="shared" si="20"/>
        <v>298.34100000000001</v>
      </c>
      <c r="E45" s="94">
        <f t="shared" si="9"/>
        <v>10650.773700000002</v>
      </c>
      <c r="F45" s="91"/>
      <c r="G45" s="91"/>
      <c r="H45" s="88"/>
      <c r="I45" s="95">
        <f t="shared" si="5"/>
        <v>328.34100000000001</v>
      </c>
      <c r="J45" s="89">
        <f t="shared" si="10"/>
        <v>167453.91</v>
      </c>
      <c r="K45" s="88"/>
      <c r="L45" s="88"/>
      <c r="M45" s="88"/>
      <c r="N45" s="88"/>
      <c r="O45" s="88">
        <f t="shared" si="11"/>
        <v>0</v>
      </c>
      <c r="P45" s="95">
        <f t="shared" si="12"/>
        <v>328</v>
      </c>
      <c r="Q45" s="75">
        <f t="shared" si="13"/>
        <v>0</v>
      </c>
    </row>
    <row r="46" spans="1:17" x14ac:dyDescent="0.55000000000000004">
      <c r="A46" s="88">
        <v>25</v>
      </c>
      <c r="B46" s="91">
        <v>515</v>
      </c>
      <c r="C46" s="89">
        <f t="shared" si="6"/>
        <v>153645.62</v>
      </c>
      <c r="D46" s="93">
        <f t="shared" si="20"/>
        <v>298.34100000000001</v>
      </c>
      <c r="E46" s="90">
        <f t="shared" si="9"/>
        <v>10755.1934</v>
      </c>
      <c r="F46" s="88"/>
      <c r="G46" s="88"/>
      <c r="H46" s="88"/>
      <c r="I46" s="95">
        <f t="shared" si="5"/>
        <v>328.34100000000001</v>
      </c>
      <c r="J46" s="89">
        <f t="shared" si="10"/>
        <v>169095.61499999999</v>
      </c>
      <c r="K46" s="88"/>
      <c r="L46" s="88"/>
      <c r="M46" s="88"/>
      <c r="N46" s="88"/>
      <c r="O46" s="88">
        <f t="shared" si="11"/>
        <v>0</v>
      </c>
      <c r="P46" s="95">
        <f t="shared" si="12"/>
        <v>328</v>
      </c>
      <c r="Q46" s="75">
        <f t="shared" si="13"/>
        <v>0</v>
      </c>
    </row>
    <row r="47" spans="1:17" x14ac:dyDescent="0.55000000000000004">
      <c r="A47" s="88">
        <v>26</v>
      </c>
      <c r="B47" s="91">
        <v>500</v>
      </c>
      <c r="C47" s="89">
        <f t="shared" si="6"/>
        <v>149170.5</v>
      </c>
      <c r="D47" s="93">
        <f t="shared" si="20"/>
        <v>298.34100000000001</v>
      </c>
      <c r="E47" s="90">
        <f t="shared" si="9"/>
        <v>10441.935000000001</v>
      </c>
      <c r="F47" s="88"/>
      <c r="G47" s="88"/>
      <c r="H47" s="88"/>
      <c r="I47" s="95">
        <f t="shared" si="5"/>
        <v>328.34100000000001</v>
      </c>
      <c r="J47" s="89">
        <f t="shared" si="10"/>
        <v>164170.5</v>
      </c>
      <c r="K47" s="88"/>
      <c r="L47" s="88"/>
      <c r="M47" s="88">
        <v>43</v>
      </c>
      <c r="N47" s="88"/>
      <c r="O47" s="88">
        <f t="shared" si="11"/>
        <v>-43</v>
      </c>
      <c r="P47" s="95">
        <f t="shared" si="12"/>
        <v>328</v>
      </c>
      <c r="Q47" s="75">
        <f t="shared" si="13"/>
        <v>-14104</v>
      </c>
    </row>
    <row r="48" spans="1:17" x14ac:dyDescent="0.55000000000000004">
      <c r="A48" s="88">
        <v>27</v>
      </c>
      <c r="B48" s="88">
        <v>510</v>
      </c>
      <c r="C48" s="89">
        <f t="shared" si="6"/>
        <v>152153.91</v>
      </c>
      <c r="D48" s="93">
        <f t="shared" si="20"/>
        <v>298.34100000000001</v>
      </c>
      <c r="E48" s="90">
        <f t="shared" si="9"/>
        <v>10650.773700000002</v>
      </c>
      <c r="F48" s="88"/>
      <c r="G48" s="88"/>
      <c r="H48" s="88"/>
      <c r="I48" s="95">
        <f t="shared" si="5"/>
        <v>328.34100000000001</v>
      </c>
      <c r="J48" s="89">
        <f t="shared" si="10"/>
        <v>167453.91</v>
      </c>
      <c r="K48" s="88"/>
      <c r="L48" s="88"/>
      <c r="M48" s="88"/>
      <c r="N48" s="88"/>
      <c r="O48" s="88">
        <f t="shared" si="11"/>
        <v>0</v>
      </c>
      <c r="P48" s="95">
        <f t="shared" si="12"/>
        <v>328</v>
      </c>
      <c r="Q48" s="75">
        <f t="shared" si="13"/>
        <v>0</v>
      </c>
    </row>
    <row r="49" spans="1:17" x14ac:dyDescent="0.55000000000000004">
      <c r="A49" s="88">
        <v>28</v>
      </c>
      <c r="B49" s="88">
        <v>305</v>
      </c>
      <c r="C49" s="89">
        <f t="shared" si="6"/>
        <v>90994.01</v>
      </c>
      <c r="D49" s="93">
        <f t="shared" si="20"/>
        <v>298.34100000000001</v>
      </c>
      <c r="E49" s="90">
        <f t="shared" si="9"/>
        <v>6369.5807000000004</v>
      </c>
      <c r="F49" s="88"/>
      <c r="G49" s="88"/>
      <c r="H49" s="88"/>
      <c r="I49" s="95">
        <f t="shared" si="5"/>
        <v>328.34100000000001</v>
      </c>
      <c r="J49" s="89">
        <f t="shared" si="10"/>
        <v>100144.005</v>
      </c>
      <c r="K49" s="88"/>
      <c r="L49" s="88"/>
      <c r="M49" s="88"/>
      <c r="N49" s="88"/>
      <c r="O49" s="88">
        <f t="shared" si="11"/>
        <v>0</v>
      </c>
      <c r="P49" s="95">
        <f t="shared" si="12"/>
        <v>328</v>
      </c>
      <c r="Q49" s="75">
        <f t="shared" si="13"/>
        <v>0</v>
      </c>
    </row>
    <row r="50" spans="1:17" x14ac:dyDescent="0.55000000000000004">
      <c r="A50" s="88">
        <v>29</v>
      </c>
      <c r="B50" s="88">
        <v>306</v>
      </c>
      <c r="C50" s="89">
        <f t="shared" si="6"/>
        <v>91292.35</v>
      </c>
      <c r="D50" s="93">
        <f t="shared" si="20"/>
        <v>298.34100000000001</v>
      </c>
      <c r="E50" s="90">
        <f t="shared" si="9"/>
        <v>6390.464500000001</v>
      </c>
      <c r="F50" s="88"/>
      <c r="G50" s="88"/>
      <c r="H50" s="88"/>
      <c r="I50" s="95">
        <f t="shared" si="5"/>
        <v>328.34100000000001</v>
      </c>
      <c r="J50" s="89">
        <f t="shared" si="10"/>
        <v>100472.34600000001</v>
      </c>
      <c r="K50" s="88"/>
      <c r="L50" s="88"/>
      <c r="M50" s="88">
        <v>40</v>
      </c>
      <c r="N50" s="88"/>
      <c r="O50" s="88">
        <f t="shared" si="11"/>
        <v>-40</v>
      </c>
      <c r="P50" s="95">
        <f t="shared" si="12"/>
        <v>328</v>
      </c>
      <c r="Q50" s="75">
        <f t="shared" si="13"/>
        <v>-13120</v>
      </c>
    </row>
    <row r="51" spans="1:17" x14ac:dyDescent="0.55000000000000004">
      <c r="A51" s="88">
        <v>30</v>
      </c>
      <c r="B51" s="88">
        <v>640</v>
      </c>
      <c r="C51" s="89">
        <f t="shared" si="6"/>
        <v>190938.23999999999</v>
      </c>
      <c r="D51" s="93">
        <v>298.34100000000001</v>
      </c>
      <c r="E51" s="90">
        <f t="shared" si="9"/>
        <v>13365.676800000001</v>
      </c>
      <c r="F51" s="88" t="s">
        <v>100</v>
      </c>
      <c r="G51" s="88"/>
      <c r="H51" s="88"/>
      <c r="I51" s="95">
        <f t="shared" si="5"/>
        <v>328.34100000000001</v>
      </c>
      <c r="J51" s="89">
        <f>B51*I51</f>
        <v>210138.23999999999</v>
      </c>
      <c r="K51" s="88"/>
      <c r="L51" s="88"/>
      <c r="M51" s="88"/>
      <c r="N51" s="88"/>
      <c r="O51" s="88">
        <f>H51-M51</f>
        <v>0</v>
      </c>
      <c r="P51" s="95">
        <f t="shared" si="12"/>
        <v>328</v>
      </c>
      <c r="Q51" s="75">
        <f t="shared" si="13"/>
        <v>0</v>
      </c>
    </row>
    <row r="52" spans="1:17" x14ac:dyDescent="0.55000000000000004">
      <c r="A52" s="88">
        <v>31</v>
      </c>
      <c r="B52" s="88">
        <v>278</v>
      </c>
      <c r="C52" s="89">
        <f t="shared" si="6"/>
        <v>82938.8</v>
      </c>
      <c r="D52" s="93">
        <v>298.34100000000001</v>
      </c>
      <c r="E52" s="90">
        <f t="shared" si="9"/>
        <v>5805.7160000000003</v>
      </c>
      <c r="F52" s="88"/>
      <c r="G52" s="88"/>
      <c r="H52" s="88">
        <f>SUM(B22:B52)</f>
        <v>14738</v>
      </c>
      <c r="I52" s="95">
        <f t="shared" si="5"/>
        <v>328.34100000000001</v>
      </c>
      <c r="J52" s="89">
        <f t="shared" si="10"/>
        <v>91278.797999999995</v>
      </c>
      <c r="K52" s="88"/>
      <c r="L52" s="88"/>
      <c r="M52" s="88"/>
      <c r="N52" s="88"/>
      <c r="O52" s="88">
        <f>H52-M52</f>
        <v>14738</v>
      </c>
      <c r="P52" s="95">
        <f t="shared" si="12"/>
        <v>328</v>
      </c>
      <c r="Q52" s="75">
        <f t="shared" si="13"/>
        <v>4834064</v>
      </c>
    </row>
    <row r="53" spans="1:17" x14ac:dyDescent="0.55000000000000004">
      <c r="A53" s="88" t="s">
        <v>102</v>
      </c>
      <c r="B53" s="88"/>
      <c r="C53" s="89">
        <v>4704</v>
      </c>
      <c r="D53" s="93"/>
      <c r="E53" s="90">
        <f t="shared" si="9"/>
        <v>329.28000000000003</v>
      </c>
      <c r="F53" s="88"/>
      <c r="G53" s="88"/>
      <c r="H53" s="88"/>
      <c r="I53" s="95">
        <f t="shared" si="5"/>
        <v>30</v>
      </c>
      <c r="J53" s="89">
        <f>B53*I53</f>
        <v>0</v>
      </c>
      <c r="K53" s="88"/>
      <c r="L53" s="88"/>
      <c r="M53" s="88"/>
      <c r="N53" s="88"/>
      <c r="O53" s="88">
        <f t="shared" si="11"/>
        <v>0</v>
      </c>
      <c r="P53" s="95">
        <f t="shared" si="12"/>
        <v>30</v>
      </c>
      <c r="Q53" s="75">
        <f t="shared" si="13"/>
        <v>0</v>
      </c>
    </row>
    <row r="54" spans="1:17" x14ac:dyDescent="0.55000000000000004">
      <c r="A54" s="88" t="s">
        <v>103</v>
      </c>
      <c r="B54" s="88"/>
      <c r="C54" s="89">
        <v>7500</v>
      </c>
      <c r="D54" s="95"/>
      <c r="E54" s="90">
        <f t="shared" si="9"/>
        <v>525</v>
      </c>
      <c r="F54" s="88"/>
      <c r="G54" s="88"/>
      <c r="H54" s="88"/>
      <c r="I54" s="95">
        <f t="shared" si="5"/>
        <v>30</v>
      </c>
      <c r="J54" s="89">
        <f t="shared" si="10"/>
        <v>0</v>
      </c>
      <c r="K54" s="88"/>
      <c r="L54" s="88"/>
      <c r="M54" s="88"/>
      <c r="N54" s="88"/>
      <c r="O54" s="88">
        <f t="shared" si="11"/>
        <v>0</v>
      </c>
      <c r="P54" s="95">
        <f t="shared" si="12"/>
        <v>30</v>
      </c>
      <c r="Q54" s="75">
        <f t="shared" si="13"/>
        <v>0</v>
      </c>
    </row>
    <row r="55" spans="1:17" x14ac:dyDescent="0.55000000000000004">
      <c r="A55" s="125"/>
      <c r="B55" s="125"/>
      <c r="C55" s="126">
        <f t="shared" si="6"/>
        <v>0</v>
      </c>
      <c r="D55" s="127"/>
      <c r="E55" s="128">
        <f t="shared" ref="E55:E57" si="21">C55*0.07</f>
        <v>0</v>
      </c>
      <c r="F55" s="125"/>
      <c r="G55" s="125" t="s">
        <v>68</v>
      </c>
      <c r="H55" s="125">
        <f>SUM(B22:B53)</f>
        <v>14738</v>
      </c>
      <c r="I55" s="88"/>
      <c r="J55" s="89">
        <f>SUM(J22:J54)</f>
        <v>4839089.6580000008</v>
      </c>
      <c r="K55" s="96">
        <f>J55/H55</f>
        <v>328.34100000000007</v>
      </c>
      <c r="L55" s="88"/>
      <c r="M55" s="88"/>
      <c r="N55" s="88"/>
      <c r="O55" s="88"/>
      <c r="P55" s="88"/>
      <c r="Q55" s="109">
        <f>SUM(Q22:Q54)</f>
        <v>4706472</v>
      </c>
    </row>
    <row r="56" spans="1:17" x14ac:dyDescent="0.55000000000000004">
      <c r="A56" s="97">
        <v>241641</v>
      </c>
      <c r="B56" s="88">
        <v>5</v>
      </c>
      <c r="C56" s="89">
        <f t="shared" si="6"/>
        <v>4773.46</v>
      </c>
      <c r="D56" s="95">
        <f>4773.46/5</f>
        <v>954.69200000000001</v>
      </c>
      <c r="E56" s="90">
        <f t="shared" si="21"/>
        <v>334.14220000000006</v>
      </c>
      <c r="F56" s="131" t="s">
        <v>84</v>
      </c>
      <c r="G56" s="88"/>
      <c r="H56" s="88">
        <f>SUM(H22:H54)</f>
        <v>14738</v>
      </c>
      <c r="I56" s="88"/>
      <c r="J56" s="88"/>
      <c r="K56" s="88"/>
      <c r="L56" s="88"/>
      <c r="M56" s="88"/>
      <c r="N56" s="88"/>
      <c r="O56" s="88"/>
      <c r="P56" s="88"/>
    </row>
    <row r="57" spans="1:17" x14ac:dyDescent="0.55000000000000004">
      <c r="A57" s="97">
        <v>241659</v>
      </c>
      <c r="B57" s="88">
        <v>5</v>
      </c>
      <c r="C57" s="89">
        <f t="shared" si="6"/>
        <v>4773.46</v>
      </c>
      <c r="D57" s="95">
        <f>4773.46/5</f>
        <v>954.69200000000001</v>
      </c>
      <c r="E57" s="90">
        <f t="shared" si="21"/>
        <v>334.14220000000006</v>
      </c>
      <c r="F57" s="131" t="s">
        <v>84</v>
      </c>
      <c r="G57" s="88"/>
      <c r="H57" s="88"/>
      <c r="I57" s="88"/>
      <c r="J57" s="88"/>
      <c r="K57" s="88"/>
      <c r="L57" s="88"/>
      <c r="M57" s="88"/>
      <c r="N57" s="88"/>
      <c r="O57" s="88"/>
      <c r="P57" s="88"/>
    </row>
    <row r="58" spans="1:17" x14ac:dyDescent="0.55000000000000004">
      <c r="A58" s="97">
        <v>241670</v>
      </c>
      <c r="B58" s="88">
        <v>10</v>
      </c>
      <c r="C58" s="89">
        <f>ROUND(B58*D58,2)</f>
        <v>795.58</v>
      </c>
      <c r="D58" s="95">
        <f>397.79/5</f>
        <v>79.558000000000007</v>
      </c>
      <c r="E58" s="90">
        <f>C58*0.07</f>
        <v>55.690600000000011</v>
      </c>
      <c r="F58" s="131" t="s">
        <v>85</v>
      </c>
      <c r="G58" s="88"/>
      <c r="H58" s="88"/>
      <c r="I58" s="88"/>
      <c r="J58" s="88"/>
      <c r="K58" s="88"/>
      <c r="L58" s="88"/>
      <c r="M58" s="88"/>
      <c r="N58" s="88"/>
      <c r="O58" s="88"/>
      <c r="P58" s="88"/>
    </row>
    <row r="59" spans="1:17" x14ac:dyDescent="0.55000000000000004">
      <c r="A59" s="97"/>
      <c r="B59" s="88"/>
      <c r="C59" s="89">
        <f>ROUND(B59*D59,2)</f>
        <v>0</v>
      </c>
      <c r="D59" s="95"/>
      <c r="E59" s="90">
        <f>C59*0.07</f>
        <v>0</v>
      </c>
      <c r="F59" s="131"/>
      <c r="G59" s="88"/>
      <c r="H59" s="88"/>
      <c r="I59" s="88"/>
      <c r="J59" s="88"/>
      <c r="K59" s="88"/>
      <c r="L59" s="88"/>
      <c r="M59" s="88"/>
      <c r="N59" s="88"/>
      <c r="O59" s="88"/>
      <c r="P59" s="88"/>
    </row>
    <row r="60" spans="1:17" x14ac:dyDescent="0.55000000000000004">
      <c r="A60" s="97"/>
      <c r="B60" s="88"/>
      <c r="C60" s="89"/>
      <c r="D60" s="95"/>
      <c r="E60" s="90"/>
      <c r="F60" s="131"/>
      <c r="G60" s="88"/>
      <c r="H60" s="88"/>
      <c r="I60" s="88"/>
      <c r="J60" s="88"/>
      <c r="K60" s="88"/>
      <c r="L60" s="88"/>
      <c r="M60" s="88"/>
      <c r="N60" s="88"/>
      <c r="O60" s="88"/>
      <c r="P60" s="88"/>
    </row>
    <row r="61" spans="1:17" x14ac:dyDescent="0.55000000000000004">
      <c r="A61" s="97"/>
      <c r="B61" s="88"/>
      <c r="C61" s="89">
        <f>ROUND(B61*D61,2)</f>
        <v>0</v>
      </c>
      <c r="D61" s="95"/>
      <c r="E61" s="90">
        <f>C61*0.07</f>
        <v>0</v>
      </c>
      <c r="F61" s="131"/>
      <c r="G61" s="88"/>
      <c r="H61" s="88"/>
      <c r="I61" s="88"/>
      <c r="J61" s="88"/>
      <c r="K61" s="88"/>
      <c r="L61" s="88"/>
      <c r="M61" s="88"/>
      <c r="N61" s="88"/>
      <c r="O61" s="88"/>
      <c r="P61" s="88"/>
    </row>
    <row r="62" spans="1:17" x14ac:dyDescent="0.55000000000000004">
      <c r="A62" s="97"/>
      <c r="B62" s="88"/>
      <c r="C62" s="89">
        <f>ROUND(B62*D62,2)</f>
        <v>0</v>
      </c>
      <c r="D62" s="95"/>
      <c r="E62" s="90">
        <f>C62*0.07</f>
        <v>0</v>
      </c>
      <c r="F62" s="131"/>
      <c r="G62" s="88" t="s">
        <v>83</v>
      </c>
      <c r="H62" s="88">
        <f>SUM(B56:B62)</f>
        <v>20</v>
      </c>
      <c r="I62" s="88"/>
      <c r="J62" s="88"/>
      <c r="K62" s="88"/>
      <c r="L62" s="88"/>
      <c r="M62" s="88"/>
      <c r="N62" s="88"/>
      <c r="O62" s="88"/>
      <c r="P62" s="88"/>
    </row>
    <row r="63" spans="1:17" x14ac:dyDescent="0.55000000000000004">
      <c r="A63" s="88"/>
      <c r="B63" s="98">
        <f>SUM(B19:B62)</f>
        <v>14758</v>
      </c>
      <c r="C63" s="99">
        <f>SUM(C19:C62)</f>
        <v>4419496.21</v>
      </c>
      <c r="D63" s="99"/>
      <c r="E63" s="99">
        <f>SUM(E19:E62)</f>
        <v>309364.73470000003</v>
      </c>
      <c r="F63" s="90">
        <f>C63+E63</f>
        <v>4728860.9446999999</v>
      </c>
      <c r="G63" s="88"/>
      <c r="H63" s="88"/>
      <c r="I63" s="88"/>
      <c r="J63" s="88"/>
      <c r="K63" s="88"/>
      <c r="L63" s="88"/>
      <c r="M63" s="88"/>
      <c r="N63" s="88"/>
      <c r="O63" s="88"/>
      <c r="P63" s="88"/>
    </row>
    <row r="64" spans="1:17" x14ac:dyDescent="0.55000000000000004">
      <c r="A64" s="88"/>
      <c r="B64" s="88"/>
      <c r="C64" s="89">
        <v>20</v>
      </c>
      <c r="D64" s="88"/>
      <c r="E64" s="90"/>
      <c r="F64" s="88"/>
      <c r="G64" s="88"/>
      <c r="H64" s="88">
        <f>H55+H62</f>
        <v>14758</v>
      </c>
      <c r="I64" s="88"/>
      <c r="J64" s="88"/>
      <c r="K64" s="88"/>
      <c r="L64" s="88"/>
      <c r="M64" s="88"/>
      <c r="N64" s="88"/>
      <c r="O64" s="88"/>
      <c r="P64" s="88"/>
    </row>
    <row r="65" spans="1:16" x14ac:dyDescent="0.55000000000000004">
      <c r="A65" s="88"/>
      <c r="B65" s="88"/>
      <c r="C65" s="89">
        <v>7500</v>
      </c>
      <c r="D65" s="88"/>
      <c r="E65" s="90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</row>
    <row r="66" spans="1:16" x14ac:dyDescent="0.55000000000000004">
      <c r="A66" s="88"/>
      <c r="B66" s="88"/>
      <c r="C66" s="88">
        <v>1413.39</v>
      </c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</row>
    <row r="67" spans="1:16" x14ac:dyDescent="0.55000000000000004">
      <c r="A67" s="88"/>
      <c r="B67" s="88"/>
      <c r="C67" s="88">
        <v>-47113</v>
      </c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</row>
    <row r="68" spans="1:16" ht="27.75" x14ac:dyDescent="0.65">
      <c r="C68" s="104">
        <f>SUM(C63:C67)</f>
        <v>4381316.5999999996</v>
      </c>
      <c r="E68" s="74"/>
    </row>
    <row r="70" spans="1:16" x14ac:dyDescent="0.55000000000000004">
      <c r="C70" s="72">
        <f>4373816.6-4369112.6</f>
        <v>4704</v>
      </c>
      <c r="D70" s="72">
        <f>C70*0.07</f>
        <v>329.28000000000003</v>
      </c>
      <c r="E70" s="72">
        <f>C70+D70</f>
        <v>5033.28</v>
      </c>
    </row>
  </sheetData>
  <mergeCells count="34">
    <mergeCell ref="S19:W19"/>
    <mergeCell ref="S23:W23"/>
    <mergeCell ref="S1:X1"/>
    <mergeCell ref="W2:X2"/>
    <mergeCell ref="W3:X3"/>
    <mergeCell ref="W4:X4"/>
    <mergeCell ref="W5:X5"/>
    <mergeCell ref="W6:X6"/>
    <mergeCell ref="W7:X7"/>
    <mergeCell ref="B5:C5"/>
    <mergeCell ref="D5:E5"/>
    <mergeCell ref="F5:G5"/>
    <mergeCell ref="A1:H1"/>
    <mergeCell ref="A2:H2"/>
    <mergeCell ref="B4:C4"/>
    <mergeCell ref="D4:E4"/>
    <mergeCell ref="F4:G4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A13:E13"/>
    <mergeCell ref="F13:G13"/>
  </mergeCells>
  <pageMargins left="0.23622047244094491" right="0.23622047244094491" top="0.19685039370078741" bottom="0.19685039370078741" header="0.31496062992125984" footer="0.31496062992125984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9"/>
  <sheetViews>
    <sheetView workbookViewId="0">
      <selection activeCell="F11" sqref="F11:G11"/>
    </sheetView>
  </sheetViews>
  <sheetFormatPr defaultRowHeight="14.25" x14ac:dyDescent="0.2"/>
  <cols>
    <col min="3" max="3" width="16.375" customWidth="1"/>
    <col min="4" max="4" width="10.625" bestFit="1" customWidth="1"/>
    <col min="5" max="5" width="12" customWidth="1"/>
    <col min="7" max="7" width="12.125" customWidth="1"/>
    <col min="8" max="8" width="8.5" customWidth="1"/>
    <col min="9" max="9" width="15.125" style="15" customWidth="1"/>
    <col min="10" max="10" width="16" customWidth="1"/>
    <col min="11" max="11" width="11.625" bestFit="1" customWidth="1"/>
    <col min="12" max="12" width="12.375" customWidth="1"/>
    <col min="13" max="13" width="14.5" customWidth="1"/>
    <col min="14" max="14" width="22" customWidth="1"/>
    <col min="15" max="15" width="10.25" customWidth="1"/>
  </cols>
  <sheetData>
    <row r="1" spans="1:15" ht="34.5" x14ac:dyDescent="0.7">
      <c r="A1" s="145" t="s">
        <v>42</v>
      </c>
      <c r="B1" s="145"/>
      <c r="C1" s="145"/>
      <c r="D1" s="145"/>
      <c r="E1" s="145"/>
      <c r="F1" s="145"/>
      <c r="G1" s="145"/>
      <c r="H1" s="145"/>
    </row>
    <row r="2" spans="1:15" ht="31.5" x14ac:dyDescent="0.65">
      <c r="A2" s="146" t="s">
        <v>93</v>
      </c>
      <c r="B2" s="146"/>
      <c r="C2" s="146"/>
      <c r="D2" s="146"/>
      <c r="E2" s="146"/>
      <c r="F2" s="146"/>
      <c r="G2" s="146"/>
      <c r="H2" s="146"/>
    </row>
    <row r="3" spans="1:15" ht="31.5" x14ac:dyDescent="0.65">
      <c r="A3" s="55"/>
      <c r="B3" s="55"/>
      <c r="C3" s="55"/>
      <c r="D3" s="55"/>
      <c r="E3" s="55"/>
      <c r="F3" s="55"/>
      <c r="G3" s="55"/>
      <c r="I3" s="15">
        <f>C6*7/107</f>
        <v>0</v>
      </c>
      <c r="J3" s="34">
        <f>C6-I3</f>
        <v>0</v>
      </c>
      <c r="L3">
        <f>SUM(L4:L12)</f>
        <v>0</v>
      </c>
      <c r="N3" s="16"/>
      <c r="O3" s="16"/>
    </row>
    <row r="4" spans="1:15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56"/>
      <c r="N4" s="16"/>
      <c r="O4" s="16"/>
    </row>
    <row r="5" spans="1:15" ht="28.5" x14ac:dyDescent="0.7">
      <c r="A5" s="9"/>
      <c r="B5" s="137" t="s">
        <v>0</v>
      </c>
      <c r="C5" s="137"/>
      <c r="D5" s="143">
        <f>C20</f>
        <v>1178373</v>
      </c>
      <c r="E5" s="143"/>
      <c r="F5" s="143">
        <v>82486.11</v>
      </c>
      <c r="G5" s="143"/>
      <c r="H5" s="2"/>
      <c r="I5" s="15">
        <f>D5*0.07</f>
        <v>82486.11</v>
      </c>
      <c r="J5" s="21">
        <f>D5+F5</f>
        <v>1260859.1100000001</v>
      </c>
      <c r="K5" s="3"/>
      <c r="N5" s="16"/>
    </row>
    <row r="6" spans="1:15" ht="26.25" x14ac:dyDescent="0.55000000000000004">
      <c r="A6" s="54"/>
      <c r="B6" s="54"/>
      <c r="C6" s="54"/>
      <c r="D6" s="53"/>
      <c r="E6" s="53"/>
      <c r="F6" s="53"/>
      <c r="G6" s="53"/>
      <c r="H6" s="2"/>
      <c r="J6" s="3"/>
    </row>
    <row r="7" spans="1:15" ht="26.25" x14ac:dyDescent="0.55000000000000004">
      <c r="B7" s="137" t="s">
        <v>8</v>
      </c>
      <c r="C7" s="137"/>
      <c r="D7" s="139">
        <f>I18</f>
        <v>892000</v>
      </c>
      <c r="E7" s="139"/>
      <c r="F7" s="139">
        <v>62440</v>
      </c>
      <c r="G7" s="139"/>
      <c r="H7" s="2"/>
      <c r="I7" s="15">
        <f>D7*0.07</f>
        <v>62440.000000000007</v>
      </c>
      <c r="J7" s="21">
        <f t="shared" ref="J7" si="0">D7+F7</f>
        <v>954440</v>
      </c>
    </row>
    <row r="8" spans="1:15" ht="23.25" customHeight="1" x14ac:dyDescent="0.55000000000000004">
      <c r="A8" s="9"/>
      <c r="B8" s="137" t="s">
        <v>43</v>
      </c>
      <c r="C8" s="137"/>
      <c r="D8" s="139">
        <f>J18</f>
        <v>24300</v>
      </c>
      <c r="E8" s="139"/>
      <c r="F8" s="139">
        <v>1701</v>
      </c>
      <c r="G8" s="139"/>
      <c r="H8" s="2"/>
      <c r="I8" s="15">
        <f t="shared" ref="I8:I12" si="1">D8*0.07</f>
        <v>1701.0000000000002</v>
      </c>
      <c r="J8" s="21">
        <f t="shared" ref="J8:J12" si="2">D8+F8</f>
        <v>26001</v>
      </c>
      <c r="K8" s="3"/>
    </row>
    <row r="9" spans="1:15" ht="26.25" x14ac:dyDescent="0.55000000000000004">
      <c r="A9" s="9"/>
      <c r="B9" s="137" t="s">
        <v>1</v>
      </c>
      <c r="C9" s="137"/>
      <c r="D9" s="139">
        <v>0</v>
      </c>
      <c r="E9" s="139"/>
      <c r="F9" s="139">
        <v>0</v>
      </c>
      <c r="G9" s="139"/>
      <c r="H9" s="4"/>
      <c r="I9" s="15">
        <f t="shared" si="1"/>
        <v>0</v>
      </c>
      <c r="J9" s="21">
        <f t="shared" si="2"/>
        <v>0</v>
      </c>
    </row>
    <row r="10" spans="1:15" ht="26.25" x14ac:dyDescent="0.55000000000000004">
      <c r="A10" s="9"/>
      <c r="B10" s="137" t="s">
        <v>59</v>
      </c>
      <c r="C10" s="137"/>
      <c r="D10" s="139">
        <v>4000</v>
      </c>
      <c r="E10" s="139"/>
      <c r="F10" s="139">
        <v>280</v>
      </c>
      <c r="G10" s="139"/>
      <c r="H10" s="4"/>
      <c r="I10" s="15">
        <f t="shared" si="1"/>
        <v>280</v>
      </c>
      <c r="J10" s="21">
        <f t="shared" si="2"/>
        <v>4280</v>
      </c>
    </row>
    <row r="11" spans="1:15" ht="26.25" x14ac:dyDescent="0.55000000000000004">
      <c r="A11" s="9"/>
      <c r="B11" s="137" t="s">
        <v>44</v>
      </c>
      <c r="C11" s="137"/>
      <c r="D11" s="139">
        <v>0</v>
      </c>
      <c r="E11" s="139"/>
      <c r="F11" s="139">
        <v>0</v>
      </c>
      <c r="G11" s="139"/>
      <c r="H11" s="4"/>
      <c r="I11" s="15">
        <f t="shared" si="1"/>
        <v>0</v>
      </c>
      <c r="J11" s="21">
        <f t="shared" si="2"/>
        <v>0</v>
      </c>
    </row>
    <row r="12" spans="1:15" ht="26.25" x14ac:dyDescent="0.55000000000000004">
      <c r="A12" s="9"/>
      <c r="B12" s="137" t="s">
        <v>45</v>
      </c>
      <c r="C12" s="137"/>
      <c r="D12" s="139">
        <v>0</v>
      </c>
      <c r="E12" s="139"/>
      <c r="F12" s="139">
        <v>0</v>
      </c>
      <c r="G12" s="139"/>
      <c r="H12" s="4"/>
      <c r="I12" s="15">
        <f t="shared" si="1"/>
        <v>0</v>
      </c>
      <c r="J12" s="21">
        <f t="shared" si="2"/>
        <v>0</v>
      </c>
    </row>
    <row r="13" spans="1:15" ht="28.5" x14ac:dyDescent="0.7">
      <c r="A13" s="9"/>
      <c r="B13" s="137" t="s">
        <v>2</v>
      </c>
      <c r="C13" s="137"/>
      <c r="D13" s="140">
        <f>SUM(D7:E12)</f>
        <v>920300</v>
      </c>
      <c r="E13" s="141"/>
      <c r="F13" s="140">
        <f>SUM(F7:G12)</f>
        <v>64421</v>
      </c>
      <c r="G13" s="140"/>
      <c r="H13" s="56"/>
      <c r="I13" s="15">
        <f t="shared" ref="I13" si="3">D13*0.07</f>
        <v>64421.000000000007</v>
      </c>
      <c r="J13" s="21"/>
    </row>
    <row r="14" spans="1:15" ht="26.25" x14ac:dyDescent="0.55000000000000004">
      <c r="A14" s="5"/>
      <c r="B14" s="5"/>
      <c r="C14" s="5"/>
      <c r="D14" s="7"/>
      <c r="E14" s="5"/>
      <c r="F14" s="7"/>
      <c r="G14" s="5"/>
      <c r="H14" s="56"/>
      <c r="J14" s="3"/>
    </row>
    <row r="15" spans="1:15" ht="28.5" x14ac:dyDescent="0.7">
      <c r="A15" s="142" t="s">
        <v>3</v>
      </c>
      <c r="B15" s="142"/>
      <c r="C15" s="142"/>
      <c r="D15" s="142"/>
      <c r="E15" s="142"/>
      <c r="F15" s="140">
        <f>F5-F13</f>
        <v>18065.11</v>
      </c>
      <c r="G15" s="141"/>
      <c r="H15" s="56"/>
    </row>
    <row r="17" spans="1:14" ht="28.5" x14ac:dyDescent="0.7">
      <c r="A17" s="9"/>
      <c r="B17" s="137"/>
      <c r="C17" s="137"/>
      <c r="D17" s="140"/>
      <c r="E17" s="141"/>
      <c r="F17" s="140"/>
      <c r="G17" s="141"/>
      <c r="H17" s="56"/>
      <c r="I17" s="15" t="s">
        <v>8</v>
      </c>
      <c r="J17" t="s">
        <v>43</v>
      </c>
      <c r="L17" t="s">
        <v>1</v>
      </c>
      <c r="M17" t="s">
        <v>44</v>
      </c>
      <c r="N17" t="s">
        <v>24</v>
      </c>
    </row>
    <row r="18" spans="1:14" ht="28.5" x14ac:dyDescent="0.7">
      <c r="A18" s="142"/>
      <c r="B18" s="142"/>
      <c r="C18" s="142"/>
      <c r="D18" s="142"/>
      <c r="E18" s="142"/>
      <c r="F18" s="140"/>
      <c r="G18" s="141"/>
      <c r="H18" s="56"/>
      <c r="I18" s="15">
        <f>SUM(I19:I38)</f>
        <v>892000</v>
      </c>
      <c r="J18" s="15">
        <f>SUM(J19:J38)</f>
        <v>24300</v>
      </c>
      <c r="K18" s="15"/>
      <c r="L18" s="15">
        <f t="shared" ref="L18:N18" si="4">SUM(L19:L38)</f>
        <v>0</v>
      </c>
      <c r="M18" s="15">
        <f t="shared" si="4"/>
        <v>0</v>
      </c>
      <c r="N18" s="15">
        <f t="shared" si="4"/>
        <v>0</v>
      </c>
    </row>
    <row r="19" spans="1:14" x14ac:dyDescent="0.2">
      <c r="C19" t="s">
        <v>0</v>
      </c>
      <c r="D19" t="s">
        <v>92</v>
      </c>
      <c r="E19" s="132"/>
      <c r="H19">
        <v>1</v>
      </c>
      <c r="I19" s="15">
        <v>292000</v>
      </c>
      <c r="J19" s="15">
        <v>8100</v>
      </c>
    </row>
    <row r="20" spans="1:14" x14ac:dyDescent="0.2">
      <c r="C20" s="3">
        <f>SUM(C21:C39)</f>
        <v>1178373</v>
      </c>
      <c r="D20" s="3">
        <f>SUM(D21:D39)</f>
        <v>82486.11</v>
      </c>
      <c r="H20">
        <v>2</v>
      </c>
      <c r="I20" s="15">
        <v>430000</v>
      </c>
      <c r="J20" s="15">
        <v>8100</v>
      </c>
    </row>
    <row r="21" spans="1:14" x14ac:dyDescent="0.2">
      <c r="B21">
        <v>1</v>
      </c>
      <c r="C21" s="15">
        <v>355000</v>
      </c>
      <c r="D21" s="15">
        <f>ROUND(C21*0.07,2)</f>
        <v>24850</v>
      </c>
      <c r="H21">
        <v>3</v>
      </c>
      <c r="I21" s="15">
        <v>170000</v>
      </c>
      <c r="J21" s="15">
        <v>8100</v>
      </c>
    </row>
    <row r="22" spans="1:14" x14ac:dyDescent="0.2">
      <c r="B22">
        <v>2</v>
      </c>
      <c r="C22" s="15">
        <v>7043</v>
      </c>
      <c r="D22" s="15">
        <f t="shared" ref="D22:D31" si="5">ROUND(C22*0.07,2)</f>
        <v>493.01</v>
      </c>
      <c r="H22">
        <v>4</v>
      </c>
      <c r="J22" s="15"/>
    </row>
    <row r="23" spans="1:14" x14ac:dyDescent="0.2">
      <c r="B23">
        <v>3</v>
      </c>
      <c r="C23" s="15">
        <v>338669</v>
      </c>
      <c r="D23" s="15">
        <f t="shared" si="5"/>
        <v>23706.83</v>
      </c>
      <c r="H23">
        <v>5</v>
      </c>
      <c r="J23" s="15"/>
    </row>
    <row r="24" spans="1:14" x14ac:dyDescent="0.2">
      <c r="B24">
        <v>4</v>
      </c>
      <c r="C24" s="15">
        <v>5906</v>
      </c>
      <c r="D24" s="15">
        <f t="shared" si="5"/>
        <v>413.42</v>
      </c>
      <c r="H24">
        <v>6</v>
      </c>
      <c r="J24" s="15"/>
    </row>
    <row r="25" spans="1:14" x14ac:dyDescent="0.2">
      <c r="B25">
        <v>5</v>
      </c>
      <c r="C25" s="15">
        <v>463669</v>
      </c>
      <c r="D25" s="15">
        <f t="shared" si="5"/>
        <v>32456.83</v>
      </c>
      <c r="H25">
        <v>7</v>
      </c>
      <c r="J25" s="15"/>
    </row>
    <row r="26" spans="1:14" x14ac:dyDescent="0.2">
      <c r="B26">
        <v>6</v>
      </c>
      <c r="C26" s="15">
        <v>8086</v>
      </c>
      <c r="D26" s="15">
        <f t="shared" si="5"/>
        <v>566.02</v>
      </c>
      <c r="H26">
        <v>8</v>
      </c>
      <c r="J26" s="15"/>
    </row>
    <row r="27" spans="1:14" x14ac:dyDescent="0.2">
      <c r="B27">
        <v>7</v>
      </c>
      <c r="C27" s="15"/>
      <c r="D27" s="15">
        <f t="shared" si="5"/>
        <v>0</v>
      </c>
      <c r="H27">
        <v>9</v>
      </c>
      <c r="J27" s="15"/>
    </row>
    <row r="28" spans="1:14" x14ac:dyDescent="0.2">
      <c r="B28">
        <v>8</v>
      </c>
      <c r="C28" s="15"/>
      <c r="D28" s="15">
        <f t="shared" si="5"/>
        <v>0</v>
      </c>
      <c r="H28">
        <v>10</v>
      </c>
      <c r="J28" s="15"/>
    </row>
    <row r="29" spans="1:14" x14ac:dyDescent="0.2">
      <c r="B29">
        <v>9</v>
      </c>
      <c r="C29" s="15"/>
      <c r="D29" s="15">
        <f t="shared" si="5"/>
        <v>0</v>
      </c>
      <c r="H29">
        <v>11</v>
      </c>
      <c r="J29" s="15"/>
    </row>
    <row r="30" spans="1:14" x14ac:dyDescent="0.2">
      <c r="B30">
        <v>10</v>
      </c>
      <c r="C30" s="15"/>
      <c r="D30" s="15">
        <f t="shared" si="5"/>
        <v>0</v>
      </c>
      <c r="H30">
        <v>12</v>
      </c>
      <c r="J30" s="15"/>
    </row>
    <row r="31" spans="1:14" x14ac:dyDescent="0.2">
      <c r="C31" s="15"/>
      <c r="D31" s="15">
        <f t="shared" si="5"/>
        <v>0</v>
      </c>
      <c r="H31">
        <v>13</v>
      </c>
      <c r="J31" s="15"/>
    </row>
    <row r="32" spans="1:14" x14ac:dyDescent="0.2">
      <c r="C32" s="15"/>
      <c r="D32" s="15"/>
      <c r="H32">
        <v>14</v>
      </c>
      <c r="J32" s="15"/>
    </row>
    <row r="33" spans="3:10" x14ac:dyDescent="0.2">
      <c r="C33" s="15"/>
      <c r="D33" s="15"/>
      <c r="H33">
        <v>15</v>
      </c>
      <c r="J33" s="15"/>
    </row>
    <row r="34" spans="3:10" x14ac:dyDescent="0.2">
      <c r="C34" s="15"/>
      <c r="D34" s="15"/>
      <c r="H34">
        <v>16</v>
      </c>
      <c r="J34" s="15"/>
    </row>
    <row r="35" spans="3:10" x14ac:dyDescent="0.2">
      <c r="C35" s="15"/>
      <c r="D35" s="15"/>
      <c r="H35">
        <v>17</v>
      </c>
      <c r="J35" s="15"/>
    </row>
    <row r="36" spans="3:10" x14ac:dyDescent="0.2">
      <c r="C36" s="15"/>
      <c r="D36" s="15"/>
      <c r="H36">
        <v>18</v>
      </c>
      <c r="J36" s="15"/>
    </row>
    <row r="37" spans="3:10" x14ac:dyDescent="0.2">
      <c r="H37">
        <v>19</v>
      </c>
      <c r="J37" s="15"/>
    </row>
    <row r="38" spans="3:10" x14ac:dyDescent="0.2">
      <c r="H38">
        <v>20</v>
      </c>
      <c r="J38" s="15"/>
    </row>
    <row r="39" spans="3:10" x14ac:dyDescent="0.2">
      <c r="J39" s="15"/>
    </row>
    <row r="40" spans="3:10" x14ac:dyDescent="0.2">
      <c r="J40" s="15"/>
    </row>
    <row r="41" spans="3:10" x14ac:dyDescent="0.2">
      <c r="J41" s="15"/>
    </row>
    <row r="42" spans="3:10" x14ac:dyDescent="0.2">
      <c r="J42" s="15"/>
    </row>
    <row r="43" spans="3:10" x14ac:dyDescent="0.2">
      <c r="J43" s="15"/>
    </row>
    <row r="44" spans="3:10" x14ac:dyDescent="0.2">
      <c r="J44" s="15"/>
    </row>
    <row r="45" spans="3:10" x14ac:dyDescent="0.2">
      <c r="J45" s="15"/>
    </row>
    <row r="46" spans="3:10" x14ac:dyDescent="0.2">
      <c r="J46" s="15"/>
    </row>
    <row r="47" spans="3:10" x14ac:dyDescent="0.2">
      <c r="J47" s="15"/>
    </row>
    <row r="48" spans="3:10" x14ac:dyDescent="0.2">
      <c r="J48" s="15"/>
    </row>
    <row r="49" spans="10:10" x14ac:dyDescent="0.2">
      <c r="J49" s="15"/>
    </row>
    <row r="50" spans="10:10" x14ac:dyDescent="0.2">
      <c r="J50" s="15"/>
    </row>
    <row r="51" spans="10:10" x14ac:dyDescent="0.2">
      <c r="J51" s="15"/>
    </row>
    <row r="52" spans="10:10" x14ac:dyDescent="0.2">
      <c r="J52" s="15"/>
    </row>
    <row r="53" spans="10:10" x14ac:dyDescent="0.2">
      <c r="J53" s="15"/>
    </row>
    <row r="54" spans="10:10" x14ac:dyDescent="0.2">
      <c r="J54" s="15"/>
    </row>
    <row r="55" spans="10:10" x14ac:dyDescent="0.2">
      <c r="J55" s="15"/>
    </row>
    <row r="56" spans="10:10" x14ac:dyDescent="0.2">
      <c r="J56" s="15"/>
    </row>
    <row r="57" spans="10:10" x14ac:dyDescent="0.2">
      <c r="J57" s="15"/>
    </row>
    <row r="58" spans="10:10" x14ac:dyDescent="0.2">
      <c r="J58" s="15"/>
    </row>
    <row r="59" spans="10:10" x14ac:dyDescent="0.2">
      <c r="J59" s="15"/>
    </row>
    <row r="60" spans="10:10" x14ac:dyDescent="0.2">
      <c r="J60" s="15"/>
    </row>
    <row r="61" spans="10:10" x14ac:dyDescent="0.2">
      <c r="J61" s="15"/>
    </row>
    <row r="62" spans="10:10" x14ac:dyDescent="0.2">
      <c r="J62" s="15"/>
    </row>
    <row r="63" spans="10:10" x14ac:dyDescent="0.2">
      <c r="J63" s="15"/>
    </row>
    <row r="64" spans="10:10" x14ac:dyDescent="0.2">
      <c r="J64" s="15"/>
    </row>
    <row r="65" spans="10:10" x14ac:dyDescent="0.2">
      <c r="J65" s="15"/>
    </row>
    <row r="66" spans="10:10" x14ac:dyDescent="0.2">
      <c r="J66" s="15"/>
    </row>
    <row r="67" spans="10:10" x14ac:dyDescent="0.2">
      <c r="J67" s="15"/>
    </row>
    <row r="68" spans="10:10" x14ac:dyDescent="0.2">
      <c r="J68" s="15"/>
    </row>
    <row r="69" spans="10:10" x14ac:dyDescent="0.2">
      <c r="J69" s="15"/>
    </row>
    <row r="70" spans="10:10" x14ac:dyDescent="0.2">
      <c r="J70" s="15"/>
    </row>
    <row r="71" spans="10:10" x14ac:dyDescent="0.2">
      <c r="J71" s="15"/>
    </row>
    <row r="72" spans="10:10" x14ac:dyDescent="0.2">
      <c r="J72" s="15"/>
    </row>
    <row r="73" spans="10:10" x14ac:dyDescent="0.2">
      <c r="J73" s="15"/>
    </row>
    <row r="74" spans="10:10" x14ac:dyDescent="0.2">
      <c r="J74" s="15"/>
    </row>
    <row r="75" spans="10:10" x14ac:dyDescent="0.2">
      <c r="J75" s="15"/>
    </row>
    <row r="76" spans="10:10" x14ac:dyDescent="0.2">
      <c r="J76" s="15"/>
    </row>
    <row r="77" spans="10:10" x14ac:dyDescent="0.2">
      <c r="J77" s="15"/>
    </row>
    <row r="78" spans="10:10" x14ac:dyDescent="0.2">
      <c r="J78" s="15"/>
    </row>
    <row r="79" spans="10:10" x14ac:dyDescent="0.2">
      <c r="J79" s="15"/>
    </row>
    <row r="80" spans="10:10" x14ac:dyDescent="0.2">
      <c r="J80" s="15"/>
    </row>
    <row r="81" spans="10:10" x14ac:dyDescent="0.2">
      <c r="J81" s="15"/>
    </row>
    <row r="82" spans="10:10" x14ac:dyDescent="0.2">
      <c r="J82" s="15"/>
    </row>
    <row r="83" spans="10:10" x14ac:dyDescent="0.2">
      <c r="J83" s="15"/>
    </row>
    <row r="84" spans="10:10" x14ac:dyDescent="0.2">
      <c r="J84" s="15"/>
    </row>
    <row r="85" spans="10:10" x14ac:dyDescent="0.2">
      <c r="J85" s="15"/>
    </row>
    <row r="86" spans="10:10" x14ac:dyDescent="0.2">
      <c r="J86" s="15"/>
    </row>
    <row r="87" spans="10:10" x14ac:dyDescent="0.2">
      <c r="J87" s="15"/>
    </row>
    <row r="88" spans="10:10" x14ac:dyDescent="0.2">
      <c r="J88" s="15"/>
    </row>
    <row r="89" spans="10:10" x14ac:dyDescent="0.2">
      <c r="J89" s="15"/>
    </row>
    <row r="90" spans="10:10" x14ac:dyDescent="0.2">
      <c r="J90" s="15"/>
    </row>
    <row r="91" spans="10:10" x14ac:dyDescent="0.2">
      <c r="J91" s="15"/>
    </row>
    <row r="92" spans="10:10" x14ac:dyDescent="0.2">
      <c r="J92" s="15"/>
    </row>
    <row r="93" spans="10:10" x14ac:dyDescent="0.2">
      <c r="J93" s="15"/>
    </row>
    <row r="94" spans="10:10" x14ac:dyDescent="0.2">
      <c r="J94" s="15"/>
    </row>
    <row r="95" spans="10:10" x14ac:dyDescent="0.2">
      <c r="J95" s="15"/>
    </row>
    <row r="96" spans="10:10" x14ac:dyDescent="0.2">
      <c r="J96" s="15"/>
    </row>
    <row r="97" spans="10:10" x14ac:dyDescent="0.2">
      <c r="J97" s="15"/>
    </row>
    <row r="98" spans="10:10" x14ac:dyDescent="0.2">
      <c r="J98" s="15"/>
    </row>
    <row r="99" spans="10:10" x14ac:dyDescent="0.2">
      <c r="J99" s="15"/>
    </row>
    <row r="100" spans="10:10" x14ac:dyDescent="0.2">
      <c r="J100" s="15"/>
    </row>
    <row r="101" spans="10:10" x14ac:dyDescent="0.2">
      <c r="J101" s="15"/>
    </row>
    <row r="102" spans="10:10" x14ac:dyDescent="0.2">
      <c r="J102" s="15"/>
    </row>
    <row r="103" spans="10:10" x14ac:dyDescent="0.2">
      <c r="J103" s="15"/>
    </row>
    <row r="104" spans="10:10" x14ac:dyDescent="0.2">
      <c r="J104" s="15"/>
    </row>
    <row r="105" spans="10:10" x14ac:dyDescent="0.2">
      <c r="J105" s="15"/>
    </row>
    <row r="106" spans="10:10" x14ac:dyDescent="0.2">
      <c r="J106" s="15"/>
    </row>
    <row r="107" spans="10:10" x14ac:dyDescent="0.2">
      <c r="J107" s="15"/>
    </row>
    <row r="108" spans="10:10" x14ac:dyDescent="0.2">
      <c r="J108" s="15"/>
    </row>
    <row r="109" spans="10:10" x14ac:dyDescent="0.2">
      <c r="J109" s="15"/>
    </row>
    <row r="110" spans="10:10" x14ac:dyDescent="0.2">
      <c r="J110" s="15"/>
    </row>
    <row r="111" spans="10:10" x14ac:dyDescent="0.2">
      <c r="J111" s="15"/>
    </row>
    <row r="112" spans="10:10" x14ac:dyDescent="0.2">
      <c r="J112" s="15"/>
    </row>
    <row r="113" spans="10:10" x14ac:dyDescent="0.2">
      <c r="J113" s="15"/>
    </row>
    <row r="114" spans="10:10" x14ac:dyDescent="0.2">
      <c r="J114" s="15"/>
    </row>
    <row r="115" spans="10:10" x14ac:dyDescent="0.2">
      <c r="J115" s="15"/>
    </row>
    <row r="116" spans="10:10" x14ac:dyDescent="0.2">
      <c r="J116" s="15"/>
    </row>
    <row r="117" spans="10:10" x14ac:dyDescent="0.2">
      <c r="J117" s="15"/>
    </row>
    <row r="118" spans="10:10" x14ac:dyDescent="0.2">
      <c r="J118" s="15"/>
    </row>
    <row r="119" spans="10:10" x14ac:dyDescent="0.2">
      <c r="J119" s="15"/>
    </row>
    <row r="120" spans="10:10" x14ac:dyDescent="0.2">
      <c r="J120" s="15"/>
    </row>
    <row r="121" spans="10:10" x14ac:dyDescent="0.2">
      <c r="J121" s="15"/>
    </row>
    <row r="122" spans="10:10" x14ac:dyDescent="0.2">
      <c r="J122" s="15"/>
    </row>
    <row r="123" spans="10:10" x14ac:dyDescent="0.2">
      <c r="J123" s="15"/>
    </row>
    <row r="124" spans="10:10" x14ac:dyDescent="0.2">
      <c r="J124" s="15"/>
    </row>
    <row r="125" spans="10:10" x14ac:dyDescent="0.2">
      <c r="J125" s="15"/>
    </row>
    <row r="126" spans="10:10" x14ac:dyDescent="0.2">
      <c r="J126" s="15"/>
    </row>
    <row r="127" spans="10:10" x14ac:dyDescent="0.2">
      <c r="J127" s="15"/>
    </row>
    <row r="128" spans="10:10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  <row r="189" spans="10:10" x14ac:dyDescent="0.2">
      <c r="J189" s="15"/>
    </row>
  </sheetData>
  <mergeCells count="36">
    <mergeCell ref="B5:C5"/>
    <mergeCell ref="D5:E5"/>
    <mergeCell ref="F5:G5"/>
    <mergeCell ref="A1:H1"/>
    <mergeCell ref="A2:H2"/>
    <mergeCell ref="B4:C4"/>
    <mergeCell ref="D4:E4"/>
    <mergeCell ref="F4:G4"/>
    <mergeCell ref="B7:C7"/>
    <mergeCell ref="D7:E7"/>
    <mergeCell ref="F7:G7"/>
    <mergeCell ref="B8:C8"/>
    <mergeCell ref="D8:E8"/>
    <mergeCell ref="F8:G8"/>
    <mergeCell ref="A18:E18"/>
    <mergeCell ref="F18:G18"/>
    <mergeCell ref="B13:C13"/>
    <mergeCell ref="D13:E13"/>
    <mergeCell ref="F13:G13"/>
    <mergeCell ref="A15:E15"/>
    <mergeCell ref="F15:G15"/>
    <mergeCell ref="B10:C10"/>
    <mergeCell ref="D9:E9"/>
    <mergeCell ref="F9:G9"/>
    <mergeCell ref="B17:C17"/>
    <mergeCell ref="D17:E17"/>
    <mergeCell ref="F17:G17"/>
    <mergeCell ref="B11:C11"/>
    <mergeCell ref="D11:E11"/>
    <mergeCell ref="F11:G11"/>
    <mergeCell ref="B12:C12"/>
    <mergeCell ref="D12:E12"/>
    <mergeCell ref="F12:G12"/>
    <mergeCell ref="B9:C9"/>
    <mergeCell ref="D10:E10"/>
    <mergeCell ref="F10:G10"/>
  </mergeCells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8"/>
  <sheetViews>
    <sheetView workbookViewId="0">
      <selection activeCell="E3" sqref="E3"/>
    </sheetView>
  </sheetViews>
  <sheetFormatPr defaultRowHeight="23.25" x14ac:dyDescent="0.5"/>
  <cols>
    <col min="3" max="3" width="25.125" customWidth="1"/>
    <col min="5" max="5" width="9" customWidth="1"/>
    <col min="7" max="7" width="7.75" customWidth="1"/>
    <col min="8" max="8" width="5.625" hidden="1" customWidth="1"/>
    <col min="9" max="9" width="13.75" customWidth="1"/>
    <col min="10" max="10" width="11.75" bestFit="1" customWidth="1"/>
    <col min="11" max="11" width="10.625" bestFit="1" customWidth="1"/>
    <col min="12" max="12" width="26.875" style="32" customWidth="1"/>
    <col min="13" max="13" width="14.875" style="32" customWidth="1"/>
    <col min="14" max="14" width="11.125" style="32" customWidth="1"/>
    <col min="15" max="15" width="14.125" style="32" customWidth="1"/>
    <col min="16" max="16" width="14" customWidth="1"/>
    <col min="17" max="18" width="10.625" bestFit="1" customWidth="1"/>
    <col min="21" max="21" width="9.625" bestFit="1" customWidth="1"/>
  </cols>
  <sheetData>
    <row r="1" spans="1:21" ht="34.5" x14ac:dyDescent="0.7">
      <c r="A1" s="145" t="s">
        <v>12</v>
      </c>
      <c r="B1" s="145"/>
      <c r="C1" s="145"/>
      <c r="D1" s="145"/>
      <c r="E1" s="145"/>
      <c r="F1" s="145"/>
      <c r="G1" s="145"/>
      <c r="H1" s="145"/>
      <c r="L1" s="149"/>
      <c r="M1" s="149"/>
      <c r="N1" s="149"/>
      <c r="O1" s="149"/>
    </row>
    <row r="2" spans="1:21" ht="31.5" x14ac:dyDescent="0.65">
      <c r="A2" s="146" t="s">
        <v>104</v>
      </c>
      <c r="B2" s="146"/>
      <c r="C2" s="146"/>
      <c r="D2" s="146"/>
      <c r="E2" s="146"/>
      <c r="F2" s="146"/>
      <c r="G2" s="146"/>
      <c r="H2" s="146"/>
      <c r="L2" s="25"/>
      <c r="M2" s="26"/>
      <c r="N2" s="25"/>
      <c r="O2" s="27" t="s">
        <v>99</v>
      </c>
      <c r="P2" t="s">
        <v>94</v>
      </c>
      <c r="Q2" t="s">
        <v>95</v>
      </c>
      <c r="R2" t="s">
        <v>96</v>
      </c>
      <c r="S2" t="s">
        <v>97</v>
      </c>
      <c r="T2" t="s">
        <v>98</v>
      </c>
    </row>
    <row r="3" spans="1:21" ht="31.5" x14ac:dyDescent="0.65">
      <c r="A3" s="11"/>
      <c r="B3" s="11"/>
      <c r="C3" s="11"/>
      <c r="D3" s="11"/>
      <c r="E3" s="11"/>
      <c r="F3" s="11"/>
      <c r="G3" s="11"/>
      <c r="L3" s="25"/>
      <c r="M3" s="25"/>
      <c r="N3" s="25"/>
      <c r="O3" s="25">
        <v>9273.83</v>
      </c>
      <c r="P3" s="15">
        <v>3364.49</v>
      </c>
      <c r="Q3" s="15">
        <v>19459.669999999998</v>
      </c>
      <c r="R3" s="15">
        <f>1588.79+1364.49+1271.03+1476.64+1401.87+1327.1+1551.4+1598.13+841.12+1654.21+1588.79+1457.94</f>
        <v>17121.510000000002</v>
      </c>
      <c r="S3" s="15">
        <v>464</v>
      </c>
      <c r="T3" s="15">
        <v>802</v>
      </c>
      <c r="U3" s="15">
        <v>1082.24</v>
      </c>
    </row>
    <row r="4" spans="1:21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1"/>
      <c r="L4" s="28"/>
      <c r="M4" s="29"/>
      <c r="N4" s="29"/>
      <c r="O4" s="29">
        <v>9273.83</v>
      </c>
      <c r="P4" s="15">
        <f>1546.73+3205.61+1308.41</f>
        <v>6060.75</v>
      </c>
      <c r="Q4" s="15">
        <v>16590.47</v>
      </c>
      <c r="R4" s="15">
        <f>822.43+1803.74+1457.94</f>
        <v>4084.11</v>
      </c>
      <c r="S4" s="15">
        <v>464</v>
      </c>
      <c r="T4">
        <f>499+599+199+199+499+599</f>
        <v>2594</v>
      </c>
    </row>
    <row r="5" spans="1:21" ht="28.5" x14ac:dyDescent="0.7">
      <c r="A5" s="9"/>
      <c r="B5" s="137" t="s">
        <v>0</v>
      </c>
      <c r="C5" s="137"/>
      <c r="D5" s="143">
        <v>1522624.38</v>
      </c>
      <c r="E5" s="143"/>
      <c r="F5" s="143">
        <v>106583.71</v>
      </c>
      <c r="G5" s="143"/>
      <c r="H5" s="2"/>
      <c r="I5" s="3">
        <f>D5+F5</f>
        <v>1629208.0899999999</v>
      </c>
      <c r="J5" s="3">
        <f>D5*0.07</f>
        <v>106583.7066</v>
      </c>
      <c r="L5" s="28"/>
      <c r="M5" s="29"/>
      <c r="N5" s="29"/>
      <c r="O5" s="29"/>
      <c r="P5" s="15"/>
      <c r="Q5" s="15"/>
      <c r="R5" s="15">
        <f>1401.87</f>
        <v>1401.87</v>
      </c>
      <c r="S5" s="15"/>
    </row>
    <row r="6" spans="1:21" ht="26.25" x14ac:dyDescent="0.55000000000000004">
      <c r="A6" s="12"/>
      <c r="B6" s="12"/>
      <c r="C6" s="12"/>
      <c r="D6" s="13"/>
      <c r="E6" s="13"/>
      <c r="F6" s="13"/>
      <c r="G6" s="13"/>
      <c r="H6" s="2"/>
      <c r="I6" s="3"/>
      <c r="L6" s="28" t="s">
        <v>35</v>
      </c>
      <c r="M6" s="29"/>
      <c r="N6" s="29"/>
      <c r="O6" s="29"/>
      <c r="P6" s="15"/>
      <c r="Q6" s="15"/>
      <c r="R6" s="15">
        <f>1308.41+1252.34+1457.94+831.78</f>
        <v>4850.47</v>
      </c>
      <c r="S6" s="15"/>
    </row>
    <row r="7" spans="1:21" ht="26.25" x14ac:dyDescent="0.55000000000000004">
      <c r="B7" s="137" t="s">
        <v>8</v>
      </c>
      <c r="C7" s="137"/>
      <c r="D7" s="139">
        <f>M49</f>
        <v>1284529.3400000001</v>
      </c>
      <c r="E7" s="139"/>
      <c r="F7" s="139">
        <v>89917.05</v>
      </c>
      <c r="G7" s="139"/>
      <c r="H7" s="2"/>
      <c r="I7" s="3">
        <f t="shared" ref="I7:I14" si="0">D7+F7</f>
        <v>1374446.3900000001</v>
      </c>
      <c r="J7" s="3">
        <f t="shared" ref="J7:J20" si="1">D7*0.07</f>
        <v>89917.053800000009</v>
      </c>
      <c r="L7" s="43">
        <f>D7/D5</f>
        <v>0.84362851197745836</v>
      </c>
      <c r="M7" s="29"/>
      <c r="N7" s="29"/>
      <c r="O7" s="29"/>
      <c r="P7" s="15"/>
      <c r="Q7" s="15"/>
      <c r="R7" s="15">
        <f>1644.86+1495.33+467.29+1401.87+794.39+869.16</f>
        <v>6672.9</v>
      </c>
      <c r="S7" s="15"/>
    </row>
    <row r="8" spans="1:21" ht="26.25" x14ac:dyDescent="0.55000000000000004">
      <c r="A8" s="9"/>
      <c r="B8" s="137" t="s">
        <v>9</v>
      </c>
      <c r="C8" s="137"/>
      <c r="D8" s="139">
        <v>17832.150000000001</v>
      </c>
      <c r="E8" s="139"/>
      <c r="F8" s="139">
        <v>1248.25</v>
      </c>
      <c r="G8" s="139"/>
      <c r="H8" s="2"/>
      <c r="I8" s="3">
        <f t="shared" si="0"/>
        <v>19080.400000000001</v>
      </c>
      <c r="J8" s="3">
        <f t="shared" si="1"/>
        <v>1248.2505000000003</v>
      </c>
      <c r="K8" s="34"/>
      <c r="L8" s="28"/>
      <c r="M8" s="29"/>
      <c r="N8" s="29"/>
      <c r="O8" s="29">
        <f>SUM(O3:O7)</f>
        <v>18547.66</v>
      </c>
      <c r="P8" s="29">
        <f t="shared" ref="P8:U8" si="2">SUM(P3:P7)</f>
        <v>9425.24</v>
      </c>
      <c r="Q8" s="29">
        <f t="shared" si="2"/>
        <v>36050.14</v>
      </c>
      <c r="R8" s="29">
        <f t="shared" si="2"/>
        <v>34130.86</v>
      </c>
      <c r="S8" s="29">
        <f t="shared" si="2"/>
        <v>928</v>
      </c>
      <c r="T8" s="29">
        <f t="shared" si="2"/>
        <v>3396</v>
      </c>
      <c r="U8" s="29">
        <f t="shared" si="2"/>
        <v>1082.24</v>
      </c>
    </row>
    <row r="9" spans="1:21" ht="26.25" x14ac:dyDescent="0.55000000000000004">
      <c r="A9" s="9"/>
      <c r="B9" s="137" t="s">
        <v>23</v>
      </c>
      <c r="C9" s="137"/>
      <c r="D9" s="139">
        <v>440</v>
      </c>
      <c r="E9" s="139"/>
      <c r="F9" s="139">
        <v>30.8</v>
      </c>
      <c r="G9" s="139"/>
      <c r="H9" s="2"/>
      <c r="I9" s="3">
        <f t="shared" si="0"/>
        <v>470.8</v>
      </c>
      <c r="J9" s="3">
        <f t="shared" si="1"/>
        <v>30.800000000000004</v>
      </c>
      <c r="L9" s="28"/>
      <c r="M9" s="29"/>
      <c r="N9" s="29"/>
      <c r="O9" s="29"/>
      <c r="P9" s="15"/>
      <c r="Q9" s="15"/>
      <c r="R9" s="15"/>
      <c r="S9" s="15"/>
    </row>
    <row r="10" spans="1:21" ht="26.25" x14ac:dyDescent="0.55000000000000004">
      <c r="A10" s="9"/>
      <c r="B10" s="137" t="s">
        <v>21</v>
      </c>
      <c r="C10" s="137"/>
      <c r="D10" s="139">
        <v>3396</v>
      </c>
      <c r="E10" s="139"/>
      <c r="F10" s="139">
        <v>237.72</v>
      </c>
      <c r="G10" s="139"/>
      <c r="H10" s="2"/>
      <c r="I10" s="3">
        <f t="shared" si="0"/>
        <v>3633.72</v>
      </c>
      <c r="J10" s="3">
        <f t="shared" si="1"/>
        <v>237.72000000000003</v>
      </c>
      <c r="L10" s="28"/>
      <c r="M10" s="29">
        <v>4857.93</v>
      </c>
      <c r="N10" s="29"/>
      <c r="O10" s="29"/>
      <c r="P10" s="15"/>
      <c r="Q10" s="15"/>
      <c r="R10" s="15"/>
      <c r="S10" s="15"/>
    </row>
    <row r="11" spans="1:21" ht="26.25" x14ac:dyDescent="0.55000000000000004">
      <c r="A11" s="9"/>
      <c r="B11" s="137" t="s">
        <v>22</v>
      </c>
      <c r="C11" s="137"/>
      <c r="D11" s="139">
        <v>9273.83</v>
      </c>
      <c r="E11" s="139"/>
      <c r="F11" s="139">
        <v>649.16999999999996</v>
      </c>
      <c r="G11" s="139"/>
      <c r="H11" s="2"/>
      <c r="I11" s="3">
        <f t="shared" si="0"/>
        <v>9923</v>
      </c>
      <c r="J11" s="3">
        <f t="shared" si="1"/>
        <v>649.16810000000009</v>
      </c>
      <c r="L11" s="28"/>
      <c r="M11" s="29">
        <f>M10*0.07</f>
        <v>340.05510000000004</v>
      </c>
      <c r="N11" s="29"/>
      <c r="O11" s="29"/>
      <c r="P11" s="15"/>
      <c r="Q11" s="15"/>
      <c r="R11" s="15"/>
      <c r="S11" s="15"/>
    </row>
    <row r="12" spans="1:21" ht="26.25" x14ac:dyDescent="0.55000000000000004">
      <c r="A12" s="9"/>
      <c r="B12" s="137" t="s">
        <v>1</v>
      </c>
      <c r="C12" s="137"/>
      <c r="D12" s="139">
        <v>28869.19</v>
      </c>
      <c r="E12" s="139"/>
      <c r="F12" s="139">
        <v>2020.84</v>
      </c>
      <c r="G12" s="139"/>
      <c r="H12" s="2"/>
      <c r="I12" s="3">
        <f t="shared" si="0"/>
        <v>30890.03</v>
      </c>
      <c r="J12" s="3">
        <f t="shared" si="1"/>
        <v>2020.8433</v>
      </c>
      <c r="L12" s="28"/>
      <c r="M12" s="29">
        <f>M10+M11</f>
        <v>5197.9850999999999</v>
      </c>
      <c r="N12" s="29"/>
      <c r="O12" s="29"/>
      <c r="P12" s="15"/>
      <c r="Q12" s="15"/>
      <c r="R12" s="15"/>
      <c r="S12" s="15"/>
    </row>
    <row r="13" spans="1:21" ht="26.25" x14ac:dyDescent="0.55000000000000004">
      <c r="A13" s="9"/>
      <c r="B13" s="137" t="s">
        <v>81</v>
      </c>
      <c r="C13" s="137"/>
      <c r="D13" s="139">
        <f>27943.93+28953.27</f>
        <v>56897.2</v>
      </c>
      <c r="E13" s="139"/>
      <c r="F13" s="139">
        <v>3982.8</v>
      </c>
      <c r="G13" s="139"/>
      <c r="H13" s="2"/>
      <c r="I13" s="3">
        <f t="shared" ref="I13" si="3">D13+F13</f>
        <v>60880</v>
      </c>
      <c r="J13" s="3">
        <f t="shared" ref="J13" si="4">D13*0.07</f>
        <v>3982.8040000000001</v>
      </c>
      <c r="L13" s="28"/>
      <c r="M13" s="29"/>
      <c r="N13" s="29"/>
      <c r="O13" s="29"/>
      <c r="P13" s="15"/>
      <c r="Q13" s="15"/>
      <c r="R13" s="15"/>
      <c r="S13" s="15"/>
    </row>
    <row r="14" spans="1:21" ht="26.25" x14ac:dyDescent="0.55000000000000004">
      <c r="A14" s="9"/>
      <c r="B14" s="137" t="s">
        <v>24</v>
      </c>
      <c r="C14" s="137"/>
      <c r="D14" s="139"/>
      <c r="E14" s="139"/>
      <c r="F14" s="139"/>
      <c r="G14" s="139"/>
      <c r="H14" s="2"/>
      <c r="I14" s="3">
        <f t="shared" si="0"/>
        <v>0</v>
      </c>
      <c r="J14" s="3">
        <f t="shared" si="1"/>
        <v>0</v>
      </c>
      <c r="L14" s="28"/>
      <c r="M14" s="29"/>
      <c r="N14" s="29"/>
      <c r="O14" s="29"/>
      <c r="P14" s="15"/>
      <c r="Q14" s="15"/>
      <c r="R14" s="15"/>
      <c r="S14" s="15"/>
    </row>
    <row r="15" spans="1:21" ht="26.25" x14ac:dyDescent="0.55000000000000004">
      <c r="A15" s="9"/>
      <c r="B15" s="137" t="s">
        <v>80</v>
      </c>
      <c r="C15" s="137"/>
      <c r="D15" s="139">
        <v>0</v>
      </c>
      <c r="E15" s="139"/>
      <c r="F15" s="139">
        <v>0</v>
      </c>
      <c r="G15" s="139"/>
      <c r="H15" s="2"/>
      <c r="I15" s="3">
        <f t="shared" ref="I15" si="5">D15+F15</f>
        <v>0</v>
      </c>
      <c r="J15" s="3">
        <f t="shared" ref="J15" si="6">D15*0.07</f>
        <v>0</v>
      </c>
      <c r="L15" s="28"/>
      <c r="M15" s="29"/>
      <c r="N15" s="29"/>
      <c r="O15" s="29"/>
      <c r="P15" s="15"/>
      <c r="Q15" s="15"/>
      <c r="R15" s="15"/>
      <c r="S15" s="15"/>
    </row>
    <row r="16" spans="1:21" ht="26.25" x14ac:dyDescent="0.55000000000000004">
      <c r="A16" s="9"/>
      <c r="B16" s="137" t="s">
        <v>59</v>
      </c>
      <c r="C16" s="137"/>
      <c r="D16" s="139">
        <v>4000</v>
      </c>
      <c r="E16" s="139"/>
      <c r="F16" s="139">
        <v>280</v>
      </c>
      <c r="G16" s="139"/>
      <c r="H16" s="2"/>
      <c r="I16" s="3">
        <f t="shared" ref="I16:I18" si="7">D16+F16</f>
        <v>4280</v>
      </c>
      <c r="J16" s="3">
        <f t="shared" ref="J16:J18" si="8">D16*0.07</f>
        <v>280</v>
      </c>
      <c r="L16" s="28"/>
      <c r="M16" s="29"/>
      <c r="N16" s="29"/>
      <c r="O16" s="29"/>
      <c r="P16" s="15"/>
      <c r="Q16" s="15"/>
      <c r="R16" s="15"/>
      <c r="S16" s="15"/>
    </row>
    <row r="17" spans="1:19" ht="26.25" x14ac:dyDescent="0.55000000000000004">
      <c r="A17" s="9"/>
      <c r="B17" s="137" t="s">
        <v>18</v>
      </c>
      <c r="C17" s="137"/>
      <c r="D17" s="139"/>
      <c r="E17" s="139"/>
      <c r="F17" s="139"/>
      <c r="G17" s="139"/>
      <c r="H17" s="2"/>
      <c r="I17" s="3">
        <f t="shared" si="7"/>
        <v>0</v>
      </c>
      <c r="J17" s="3">
        <f t="shared" si="8"/>
        <v>0</v>
      </c>
      <c r="L17" s="28"/>
      <c r="M17" s="29"/>
      <c r="N17" s="29"/>
      <c r="O17" s="29"/>
      <c r="P17" s="15"/>
      <c r="Q17" s="15"/>
      <c r="R17" s="15"/>
      <c r="S17" s="15"/>
    </row>
    <row r="18" spans="1:19" ht="26.25" x14ac:dyDescent="0.55000000000000004">
      <c r="A18" s="9"/>
      <c r="B18" s="137" t="s">
        <v>82</v>
      </c>
      <c r="C18" s="137"/>
      <c r="D18" s="139">
        <v>0</v>
      </c>
      <c r="E18" s="139"/>
      <c r="F18" s="139">
        <v>0</v>
      </c>
      <c r="G18" s="139"/>
      <c r="H18" s="2"/>
      <c r="I18" s="3">
        <f t="shared" si="7"/>
        <v>0</v>
      </c>
      <c r="J18" s="3">
        <f t="shared" si="8"/>
        <v>0</v>
      </c>
      <c r="L18" s="28"/>
      <c r="M18" s="29"/>
      <c r="N18" s="29"/>
      <c r="O18" s="29"/>
      <c r="P18" s="15"/>
      <c r="Q18" s="15"/>
      <c r="R18" s="15"/>
      <c r="S18" s="15"/>
    </row>
    <row r="19" spans="1:19" ht="26.25" x14ac:dyDescent="0.55000000000000004">
      <c r="A19" s="9"/>
      <c r="B19" s="137" t="s">
        <v>25</v>
      </c>
      <c r="C19" s="137"/>
      <c r="D19" s="139">
        <v>0</v>
      </c>
      <c r="E19" s="139"/>
      <c r="F19" s="139">
        <v>0</v>
      </c>
      <c r="G19" s="139"/>
      <c r="H19" s="2"/>
      <c r="I19" s="3">
        <f t="shared" ref="I19" si="9">D19+F19</f>
        <v>0</v>
      </c>
      <c r="J19" s="3">
        <f t="shared" ref="J19" si="10">D19*0.07</f>
        <v>0</v>
      </c>
      <c r="L19" s="28"/>
      <c r="M19" s="29"/>
      <c r="N19" s="29"/>
      <c r="O19" s="29"/>
      <c r="P19" s="15"/>
      <c r="Q19" s="15"/>
      <c r="R19" s="15"/>
      <c r="S19" s="15"/>
    </row>
    <row r="20" spans="1:19" ht="28.5" x14ac:dyDescent="0.7">
      <c r="A20" s="9"/>
      <c r="B20" s="137" t="s">
        <v>2</v>
      </c>
      <c r="C20" s="137"/>
      <c r="D20" s="140">
        <f>SUM(D7:E19)</f>
        <v>1405237.71</v>
      </c>
      <c r="E20" s="141"/>
      <c r="F20" s="140">
        <f>SUM(F7:G19)</f>
        <v>98366.63</v>
      </c>
      <c r="G20" s="141"/>
      <c r="H20" s="1"/>
      <c r="I20" s="3"/>
      <c r="J20" s="3">
        <f t="shared" si="1"/>
        <v>98366.6397</v>
      </c>
    </row>
    <row r="21" spans="1:19" ht="26.25" x14ac:dyDescent="0.55000000000000004">
      <c r="A21" s="5"/>
      <c r="B21" s="5"/>
      <c r="C21" s="5"/>
      <c r="D21" s="7"/>
      <c r="E21" s="5"/>
      <c r="F21" s="7"/>
      <c r="G21" s="5"/>
      <c r="H21" s="1"/>
      <c r="I21" s="3"/>
    </row>
    <row r="22" spans="1:19" ht="28.5" x14ac:dyDescent="0.7">
      <c r="A22" s="142" t="s">
        <v>3</v>
      </c>
      <c r="B22" s="142"/>
      <c r="C22" s="142"/>
      <c r="D22" s="142"/>
      <c r="E22" s="142"/>
      <c r="F22" s="140">
        <f>F5-F20</f>
        <v>8217.0800000000017</v>
      </c>
      <c r="G22" s="141"/>
      <c r="H22" s="1"/>
    </row>
    <row r="24" spans="1:19" x14ac:dyDescent="0.5">
      <c r="A24" s="20"/>
      <c r="B24" s="20"/>
      <c r="C24" s="20"/>
      <c r="D24" s="20"/>
      <c r="E24" s="20"/>
      <c r="F24" s="20"/>
      <c r="G24" s="20"/>
      <c r="H24" s="20"/>
    </row>
    <row r="25" spans="1:19" ht="34.5" x14ac:dyDescent="0.7">
      <c r="A25" s="145" t="s">
        <v>12</v>
      </c>
      <c r="B25" s="145"/>
      <c r="C25" s="145"/>
      <c r="D25" s="145"/>
      <c r="E25" s="145"/>
      <c r="F25" s="145"/>
      <c r="G25" s="145"/>
      <c r="H25" s="145"/>
      <c r="L25" s="33"/>
      <c r="M25" s="33"/>
      <c r="N25" s="33"/>
      <c r="O25" s="33"/>
    </row>
    <row r="26" spans="1:19" ht="31.5" x14ac:dyDescent="0.65">
      <c r="A26" s="146" t="str">
        <f>A2</f>
        <v>ประจำงวด 09/2561</v>
      </c>
      <c r="B26" s="146"/>
      <c r="C26" s="146"/>
      <c r="D26" s="146"/>
      <c r="E26" s="146"/>
      <c r="F26" s="146"/>
      <c r="G26" s="146"/>
      <c r="H26" s="146"/>
    </row>
    <row r="27" spans="1:19" ht="24.95" customHeight="1" x14ac:dyDescent="0.65">
      <c r="A27" s="17"/>
      <c r="B27" s="17"/>
      <c r="C27" s="17"/>
      <c r="D27" s="17"/>
      <c r="E27" s="17"/>
      <c r="F27" s="17"/>
      <c r="G27" s="17"/>
    </row>
    <row r="28" spans="1:19" ht="26.25" x14ac:dyDescent="0.55000000000000004">
      <c r="B28" s="144" t="s">
        <v>6</v>
      </c>
      <c r="C28" s="144"/>
      <c r="D28" s="144" t="s">
        <v>4</v>
      </c>
      <c r="E28" s="144"/>
      <c r="F28" s="144" t="s">
        <v>5</v>
      </c>
      <c r="G28" s="144"/>
      <c r="H28" s="1"/>
      <c r="L28" s="149"/>
      <c r="M28" s="149"/>
      <c r="N28" s="149"/>
      <c r="O28" s="149"/>
    </row>
    <row r="29" spans="1:19" ht="33.75" x14ac:dyDescent="0.8">
      <c r="A29" s="9"/>
      <c r="B29" s="150" t="s">
        <v>0</v>
      </c>
      <c r="C29" s="150"/>
      <c r="D29" s="151">
        <f>D5</f>
        <v>1522624.38</v>
      </c>
      <c r="E29" s="151"/>
      <c r="F29" s="151">
        <f>F5</f>
        <v>106583.71</v>
      </c>
      <c r="G29" s="151"/>
      <c r="H29" s="2"/>
      <c r="L29" s="25"/>
      <c r="M29" s="26"/>
      <c r="N29" s="25"/>
      <c r="O29" s="27"/>
    </row>
    <row r="30" spans="1:19" ht="54.75" customHeight="1" x14ac:dyDescent="0.55000000000000004">
      <c r="A30" s="18"/>
      <c r="B30" s="18"/>
      <c r="C30" s="18"/>
      <c r="D30" s="19"/>
      <c r="E30" s="19"/>
      <c r="F30" s="19"/>
      <c r="G30" s="19"/>
      <c r="H30" s="2"/>
      <c r="L30" s="25"/>
      <c r="M30" s="25"/>
      <c r="N30" s="25"/>
      <c r="O30" s="25"/>
    </row>
    <row r="31" spans="1:19" ht="34.5" x14ac:dyDescent="0.7">
      <c r="A31" s="145" t="s">
        <v>12</v>
      </c>
      <c r="B31" s="145"/>
      <c r="C31" s="145"/>
      <c r="D31" s="145"/>
      <c r="E31" s="145"/>
      <c r="F31" s="145"/>
      <c r="G31" s="145"/>
      <c r="H31" s="145"/>
      <c r="L31" s="28"/>
      <c r="M31" s="29"/>
      <c r="N31" s="29"/>
      <c r="O31" s="29"/>
    </row>
    <row r="32" spans="1:19" ht="31.5" x14ac:dyDescent="0.65">
      <c r="A32" s="146" t="str">
        <f>A26</f>
        <v>ประจำงวด 09/2561</v>
      </c>
      <c r="B32" s="146"/>
      <c r="C32" s="146"/>
      <c r="D32" s="146"/>
      <c r="E32" s="146"/>
      <c r="F32" s="146"/>
      <c r="G32" s="146"/>
      <c r="H32" s="146"/>
      <c r="L32" s="28"/>
      <c r="M32" s="29"/>
      <c r="N32" s="29"/>
      <c r="O32" s="29"/>
    </row>
    <row r="33" spans="1:15" ht="24.95" customHeight="1" x14ac:dyDescent="0.65">
      <c r="A33" s="17"/>
      <c r="B33" s="17"/>
      <c r="C33" s="17"/>
      <c r="D33" s="17"/>
      <c r="E33" s="17"/>
      <c r="F33" s="17"/>
      <c r="G33" s="17"/>
      <c r="L33" s="28"/>
      <c r="M33" s="29"/>
      <c r="N33" s="29"/>
      <c r="O33" s="29"/>
    </row>
    <row r="34" spans="1:15" ht="26.25" x14ac:dyDescent="0.55000000000000004">
      <c r="B34" s="144" t="s">
        <v>6</v>
      </c>
      <c r="C34" s="144"/>
      <c r="D34" s="144" t="s">
        <v>4</v>
      </c>
      <c r="E34" s="144"/>
      <c r="F34" s="144" t="s">
        <v>5</v>
      </c>
      <c r="G34" s="144"/>
      <c r="H34" s="1"/>
      <c r="L34" s="28"/>
      <c r="M34" s="29"/>
      <c r="N34" s="29"/>
      <c r="O34" s="29"/>
    </row>
    <row r="35" spans="1:15" ht="26.25" x14ac:dyDescent="0.55000000000000004">
      <c r="A35" s="9"/>
      <c r="B35" s="137" t="str">
        <f>B7</f>
        <v>ซื้อ</v>
      </c>
      <c r="C35" s="137"/>
      <c r="D35" s="139">
        <f>D7</f>
        <v>1284529.3400000001</v>
      </c>
      <c r="E35" s="139"/>
      <c r="F35" s="139">
        <f>F7</f>
        <v>89917.05</v>
      </c>
      <c r="G35" s="139"/>
      <c r="H35" s="2"/>
      <c r="L35" s="28"/>
      <c r="M35" s="29"/>
      <c r="N35" s="29"/>
      <c r="O35" s="29"/>
    </row>
    <row r="36" spans="1:15" ht="26.25" x14ac:dyDescent="0.55000000000000004">
      <c r="A36" s="9"/>
      <c r="B36" s="137" t="str">
        <f t="shared" ref="B36:B47" si="11">B8</f>
        <v>ค่าไฟฟ้า</v>
      </c>
      <c r="C36" s="137"/>
      <c r="D36" s="139">
        <f t="shared" ref="D36:D47" si="12">D8</f>
        <v>17832.150000000001</v>
      </c>
      <c r="E36" s="139"/>
      <c r="F36" s="139">
        <f t="shared" ref="F36:F47" si="13">F8</f>
        <v>1248.25</v>
      </c>
      <c r="G36" s="139"/>
      <c r="H36" s="2"/>
      <c r="L36" s="28"/>
      <c r="M36" s="29"/>
      <c r="N36" s="29"/>
      <c r="O36" s="29"/>
    </row>
    <row r="37" spans="1:15" ht="26.25" x14ac:dyDescent="0.55000000000000004">
      <c r="A37" s="9"/>
      <c r="B37" s="137" t="str">
        <f t="shared" si="11"/>
        <v>ค่าน้ำประปา</v>
      </c>
      <c r="C37" s="137"/>
      <c r="D37" s="139">
        <f t="shared" si="12"/>
        <v>440</v>
      </c>
      <c r="E37" s="139"/>
      <c r="F37" s="139">
        <f t="shared" si="13"/>
        <v>30.8</v>
      </c>
      <c r="G37" s="139"/>
      <c r="H37" s="2"/>
      <c r="L37" s="28"/>
      <c r="M37" s="29"/>
      <c r="N37" s="29"/>
      <c r="O37" s="29"/>
    </row>
    <row r="38" spans="1:15" ht="26.25" x14ac:dyDescent="0.55000000000000004">
      <c r="A38" s="9"/>
      <c r="B38" s="137" t="str">
        <f t="shared" si="11"/>
        <v>ค่าโทรศัพท์</v>
      </c>
      <c r="C38" s="137"/>
      <c r="D38" s="139">
        <f t="shared" si="12"/>
        <v>3396</v>
      </c>
      <c r="E38" s="139"/>
      <c r="F38" s="139">
        <f t="shared" si="13"/>
        <v>237.72</v>
      </c>
      <c r="G38" s="139"/>
      <c r="H38" s="2"/>
      <c r="L38" s="28"/>
      <c r="M38" s="29"/>
      <c r="N38" s="29"/>
      <c r="O38" s="29"/>
    </row>
    <row r="39" spans="1:15" ht="26.25" x14ac:dyDescent="0.55000000000000004">
      <c r="A39" s="9"/>
      <c r="B39" s="137" t="str">
        <f t="shared" si="11"/>
        <v>ค่าผ่อนรถยนต์</v>
      </c>
      <c r="C39" s="137"/>
      <c r="D39" s="139">
        <f t="shared" si="12"/>
        <v>9273.83</v>
      </c>
      <c r="E39" s="139"/>
      <c r="F39" s="139">
        <f t="shared" si="13"/>
        <v>649.16999999999996</v>
      </c>
      <c r="G39" s="139"/>
      <c r="H39" s="2"/>
      <c r="L39" s="28"/>
      <c r="M39" s="29"/>
      <c r="N39" s="29"/>
      <c r="O39" s="29"/>
    </row>
    <row r="40" spans="1:15" ht="26.25" x14ac:dyDescent="0.55000000000000004">
      <c r="A40" s="9"/>
      <c r="B40" s="137" t="str">
        <f t="shared" si="11"/>
        <v>ค่าน้ำมัน</v>
      </c>
      <c r="C40" s="137"/>
      <c r="D40" s="139">
        <f t="shared" si="12"/>
        <v>28869.19</v>
      </c>
      <c r="E40" s="139"/>
      <c r="F40" s="139">
        <f t="shared" si="13"/>
        <v>2020.84</v>
      </c>
      <c r="G40" s="139"/>
      <c r="H40" s="2"/>
      <c r="L40" s="28"/>
      <c r="M40" s="29"/>
      <c r="N40" s="29"/>
      <c r="O40" s="29"/>
    </row>
    <row r="41" spans="1:15" ht="26.25" x14ac:dyDescent="0.55000000000000004">
      <c r="A41" s="9"/>
      <c r="B41" s="137" t="str">
        <f t="shared" si="11"/>
        <v>ซื้อทรัพย์สิน</v>
      </c>
      <c r="C41" s="137"/>
      <c r="D41" s="139">
        <f t="shared" si="12"/>
        <v>56897.2</v>
      </c>
      <c r="E41" s="139"/>
      <c r="F41" s="139">
        <f t="shared" si="13"/>
        <v>3982.8</v>
      </c>
      <c r="G41" s="139"/>
      <c r="H41" s="2"/>
      <c r="L41" s="28"/>
      <c r="M41" s="29"/>
      <c r="N41" s="29"/>
      <c r="O41" s="29"/>
    </row>
    <row r="42" spans="1:15" ht="26.25" x14ac:dyDescent="0.55000000000000004">
      <c r="A42" s="9"/>
      <c r="B42" s="137" t="str">
        <f t="shared" si="11"/>
        <v>วัสดุสิ้นเปลืองสำนักงาน</v>
      </c>
      <c r="C42" s="137"/>
      <c r="D42" s="139">
        <f t="shared" si="12"/>
        <v>0</v>
      </c>
      <c r="E42" s="139"/>
      <c r="F42" s="139">
        <f t="shared" si="13"/>
        <v>0</v>
      </c>
      <c r="G42" s="139"/>
      <c r="H42" s="2"/>
      <c r="L42" s="28"/>
      <c r="M42" s="29"/>
      <c r="N42" s="29"/>
      <c r="O42" s="29"/>
    </row>
    <row r="43" spans="1:15" ht="26.25" x14ac:dyDescent="0.55000000000000004">
      <c r="A43" s="9"/>
      <c r="B43" s="137" t="str">
        <f t="shared" si="11"/>
        <v>ค่าอินเตอร์เน็ต</v>
      </c>
      <c r="C43" s="137"/>
      <c r="D43" s="139">
        <f t="shared" si="12"/>
        <v>0</v>
      </c>
      <c r="E43" s="139"/>
      <c r="F43" s="139">
        <f t="shared" si="13"/>
        <v>0</v>
      </c>
      <c r="G43" s="139"/>
      <c r="H43" s="2"/>
      <c r="L43" s="28"/>
      <c r="M43" s="29"/>
      <c r="N43" s="29"/>
      <c r="O43" s="29"/>
    </row>
    <row r="44" spans="1:15" ht="26.25" x14ac:dyDescent="0.55000000000000004">
      <c r="A44" s="9"/>
      <c r="B44" s="137" t="str">
        <f t="shared" si="11"/>
        <v>ค่าทำบัญชี</v>
      </c>
      <c r="C44" s="137"/>
      <c r="D44" s="139">
        <f t="shared" si="12"/>
        <v>4000</v>
      </c>
      <c r="E44" s="139"/>
      <c r="F44" s="139">
        <f t="shared" si="13"/>
        <v>280</v>
      </c>
      <c r="G44" s="139"/>
      <c r="H44" s="2"/>
      <c r="L44" s="28"/>
      <c r="M44" s="29"/>
      <c r="N44" s="29"/>
      <c r="O44" s="29"/>
    </row>
    <row r="45" spans="1:15" ht="26.25" x14ac:dyDescent="0.55000000000000004">
      <c r="A45" s="9"/>
      <c r="B45" s="137" t="str">
        <f t="shared" si="11"/>
        <v>ค่าซ่อมบำรุงยานพาหนะ</v>
      </c>
      <c r="C45" s="137"/>
      <c r="D45" s="139">
        <f t="shared" si="12"/>
        <v>0</v>
      </c>
      <c r="E45" s="139"/>
      <c r="F45" s="139">
        <f t="shared" si="13"/>
        <v>0</v>
      </c>
      <c r="G45" s="139"/>
      <c r="H45" s="2"/>
      <c r="L45" s="28"/>
      <c r="M45" s="29"/>
      <c r="N45" s="29"/>
      <c r="O45" s="29"/>
    </row>
    <row r="46" spans="1:15" ht="26.25" x14ac:dyDescent="0.55000000000000004">
      <c r="A46" s="9"/>
      <c r="B46" s="137" t="str">
        <f t="shared" si="11"/>
        <v>ค่าซ่อมบำรุงอุปกรณ์สำนักงาน</v>
      </c>
      <c r="C46" s="137"/>
      <c r="D46" s="139">
        <f t="shared" si="12"/>
        <v>0</v>
      </c>
      <c r="E46" s="139"/>
      <c r="F46" s="139">
        <f t="shared" si="13"/>
        <v>0</v>
      </c>
      <c r="G46" s="139"/>
      <c r="H46" s="2"/>
      <c r="L46" s="28"/>
      <c r="M46" s="29"/>
      <c r="N46" s="29"/>
      <c r="O46" s="29"/>
    </row>
    <row r="47" spans="1:15" ht="26.25" x14ac:dyDescent="0.55000000000000004">
      <c r="A47" s="9"/>
      <c r="B47" s="137" t="str">
        <f t="shared" si="11"/>
        <v>ค่าใช้จ่ายเบ็ดเตล็ด</v>
      </c>
      <c r="C47" s="137"/>
      <c r="D47" s="139">
        <f t="shared" si="12"/>
        <v>0</v>
      </c>
      <c r="E47" s="139"/>
      <c r="F47" s="139">
        <f t="shared" si="13"/>
        <v>0</v>
      </c>
      <c r="G47" s="139"/>
      <c r="H47" s="2"/>
      <c r="L47" s="28"/>
      <c r="M47" s="29"/>
      <c r="N47" s="29"/>
      <c r="O47" s="29"/>
    </row>
    <row r="48" spans="1:15" ht="31.5" x14ac:dyDescent="0.75">
      <c r="A48" s="9"/>
      <c r="B48" s="147" t="s">
        <v>2</v>
      </c>
      <c r="C48" s="147"/>
      <c r="D48" s="148">
        <f>D20</f>
        <v>1405237.71</v>
      </c>
      <c r="E48" s="148"/>
      <c r="F48" s="148">
        <f>F20</f>
        <v>98366.63</v>
      </c>
      <c r="G48" s="148"/>
      <c r="H48" s="2"/>
      <c r="L48" s="28"/>
      <c r="M48" s="29"/>
      <c r="N48" s="29"/>
      <c r="O48" s="29"/>
    </row>
    <row r="49" spans="1:15" ht="25.5" customHeight="1" x14ac:dyDescent="0.55000000000000004">
      <c r="A49" s="18"/>
      <c r="B49" s="18"/>
      <c r="C49" s="18"/>
      <c r="D49" s="19"/>
      <c r="E49" s="19"/>
      <c r="F49" s="19"/>
      <c r="G49" s="19"/>
      <c r="H49" s="2"/>
      <c r="L49" s="28"/>
      <c r="M49" s="47">
        <f>SUM(M51:M58)</f>
        <v>1284529.3400000001</v>
      </c>
      <c r="N49" s="47">
        <f t="shared" ref="N49:O49" si="14">SUM(N51:N58)</f>
        <v>89917.053800000009</v>
      </c>
      <c r="O49" s="47">
        <f t="shared" si="14"/>
        <v>1374446.3938</v>
      </c>
    </row>
    <row r="50" spans="1:15" ht="28.5" hidden="1" x14ac:dyDescent="0.7">
      <c r="A50" s="142"/>
      <c r="B50" s="142"/>
      <c r="C50" s="142"/>
      <c r="D50" s="142"/>
      <c r="E50" s="142"/>
      <c r="F50" s="140"/>
      <c r="G50" s="141"/>
      <c r="H50" s="1"/>
      <c r="L50" s="30"/>
      <c r="M50" s="31"/>
      <c r="N50" s="31"/>
      <c r="O50" s="31"/>
    </row>
    <row r="51" spans="1:15" x14ac:dyDescent="0.5">
      <c r="I51" s="3">
        <f>SUM(I52:I97)</f>
        <v>28869.190000000002</v>
      </c>
      <c r="J51" s="3">
        <f>SUM(J52:J88)</f>
        <v>2020.8433000000002</v>
      </c>
      <c r="K51" s="3">
        <f>SUM(K52:K88)</f>
        <v>30890.03330000001</v>
      </c>
      <c r="M51" s="46">
        <v>693060</v>
      </c>
      <c r="N51" s="46">
        <f>M51*0.07</f>
        <v>48514.200000000004</v>
      </c>
      <c r="O51" s="46">
        <f>M51+N51</f>
        <v>741574.2</v>
      </c>
    </row>
    <row r="52" spans="1:15" x14ac:dyDescent="0.5">
      <c r="B52">
        <v>1</v>
      </c>
      <c r="D52">
        <f>C52*0.07</f>
        <v>0</v>
      </c>
      <c r="E52">
        <f>C52+D52</f>
        <v>0</v>
      </c>
      <c r="I52" s="15">
        <v>1495.33</v>
      </c>
      <c r="J52" s="15">
        <f t="shared" ref="J52:J76" si="15">I52*0.07</f>
        <v>104.67310000000001</v>
      </c>
      <c r="K52" s="15">
        <f t="shared" ref="K52:K76" si="16">I52+J52</f>
        <v>1600.0030999999999</v>
      </c>
      <c r="M52" s="46">
        <v>306734.39</v>
      </c>
      <c r="N52" s="46">
        <f t="shared" ref="N52:N58" si="17">M52*0.07</f>
        <v>21471.407300000003</v>
      </c>
      <c r="O52" s="46">
        <f t="shared" ref="O52:O58" si="18">M52+N52</f>
        <v>328205.79730000003</v>
      </c>
    </row>
    <row r="53" spans="1:15" x14ac:dyDescent="0.5">
      <c r="B53">
        <v>2</v>
      </c>
      <c r="D53">
        <f t="shared" ref="D53:D87" si="19">C53*0.07</f>
        <v>0</v>
      </c>
      <c r="E53">
        <f t="shared" ref="E53:E87" si="20">C53+D53</f>
        <v>0</v>
      </c>
      <c r="I53" s="15">
        <v>1635.51</v>
      </c>
      <c r="J53" s="15">
        <f t="shared" si="15"/>
        <v>114.48570000000001</v>
      </c>
      <c r="K53" s="15">
        <f t="shared" si="16"/>
        <v>1749.9956999999999</v>
      </c>
      <c r="M53" s="46">
        <v>132188.41</v>
      </c>
      <c r="N53" s="46">
        <f t="shared" si="17"/>
        <v>9253.1887000000006</v>
      </c>
      <c r="O53" s="46">
        <f t="shared" si="18"/>
        <v>141441.5987</v>
      </c>
    </row>
    <row r="54" spans="1:15" x14ac:dyDescent="0.5">
      <c r="B54">
        <v>3</v>
      </c>
      <c r="D54">
        <f t="shared" si="19"/>
        <v>0</v>
      </c>
      <c r="E54">
        <f t="shared" si="20"/>
        <v>0</v>
      </c>
      <c r="I54" s="15">
        <v>1588.79</v>
      </c>
      <c r="J54" s="15">
        <f t="shared" si="15"/>
        <v>111.21530000000001</v>
      </c>
      <c r="K54" s="15">
        <f t="shared" si="16"/>
        <v>1700.0053</v>
      </c>
      <c r="M54" s="46"/>
      <c r="N54" s="46">
        <f t="shared" si="17"/>
        <v>0</v>
      </c>
      <c r="O54" s="46">
        <f t="shared" si="18"/>
        <v>0</v>
      </c>
    </row>
    <row r="55" spans="1:15" x14ac:dyDescent="0.5">
      <c r="B55">
        <v>4</v>
      </c>
      <c r="D55">
        <f t="shared" si="19"/>
        <v>0</v>
      </c>
      <c r="E55">
        <f t="shared" si="20"/>
        <v>0</v>
      </c>
      <c r="I55" s="15">
        <v>1448.6</v>
      </c>
      <c r="J55" s="15">
        <f t="shared" si="15"/>
        <v>101.402</v>
      </c>
      <c r="K55" s="15">
        <f t="shared" si="16"/>
        <v>1550.002</v>
      </c>
      <c r="M55" s="46"/>
      <c r="N55" s="46">
        <f t="shared" si="17"/>
        <v>0</v>
      </c>
      <c r="O55" s="46">
        <f t="shared" si="18"/>
        <v>0</v>
      </c>
    </row>
    <row r="56" spans="1:15" x14ac:dyDescent="0.5">
      <c r="B56">
        <v>5</v>
      </c>
      <c r="D56">
        <f t="shared" si="19"/>
        <v>0</v>
      </c>
      <c r="E56">
        <f t="shared" si="20"/>
        <v>0</v>
      </c>
      <c r="I56" s="15">
        <v>1383.18</v>
      </c>
      <c r="J56" s="15">
        <f t="shared" si="15"/>
        <v>96.822600000000008</v>
      </c>
      <c r="K56" s="15">
        <f t="shared" si="16"/>
        <v>1480.0026</v>
      </c>
      <c r="M56" s="46">
        <v>152546.54</v>
      </c>
      <c r="N56" s="46">
        <f t="shared" si="17"/>
        <v>10678.257800000001</v>
      </c>
      <c r="O56" s="46">
        <f t="shared" si="18"/>
        <v>163224.7978</v>
      </c>
    </row>
    <row r="57" spans="1:15" x14ac:dyDescent="0.5">
      <c r="B57">
        <v>6</v>
      </c>
      <c r="D57">
        <f t="shared" si="19"/>
        <v>0</v>
      </c>
      <c r="E57">
        <f t="shared" si="20"/>
        <v>0</v>
      </c>
      <c r="I57" s="15">
        <v>1401.87</v>
      </c>
      <c r="J57" s="15">
        <f t="shared" si="15"/>
        <v>98.130899999999997</v>
      </c>
      <c r="K57" s="15">
        <f t="shared" si="16"/>
        <v>1500.0009</v>
      </c>
      <c r="M57" s="46"/>
      <c r="N57" s="46">
        <f t="shared" si="17"/>
        <v>0</v>
      </c>
      <c r="O57" s="46">
        <f t="shared" si="18"/>
        <v>0</v>
      </c>
    </row>
    <row r="58" spans="1:15" x14ac:dyDescent="0.5">
      <c r="B58">
        <v>7</v>
      </c>
      <c r="D58">
        <f t="shared" si="19"/>
        <v>0</v>
      </c>
      <c r="E58">
        <f t="shared" si="20"/>
        <v>0</v>
      </c>
      <c r="I58" s="15">
        <v>1588.79</v>
      </c>
      <c r="J58" s="15">
        <f t="shared" si="15"/>
        <v>111.21530000000001</v>
      </c>
      <c r="K58" s="15">
        <f t="shared" si="16"/>
        <v>1700.0053</v>
      </c>
      <c r="M58" s="46"/>
      <c r="N58" s="46">
        <f t="shared" si="17"/>
        <v>0</v>
      </c>
      <c r="O58" s="46">
        <f t="shared" si="18"/>
        <v>0</v>
      </c>
    </row>
    <row r="59" spans="1:15" x14ac:dyDescent="0.5">
      <c r="B59">
        <v>8</v>
      </c>
      <c r="D59">
        <f t="shared" si="19"/>
        <v>0</v>
      </c>
      <c r="E59">
        <f t="shared" si="20"/>
        <v>0</v>
      </c>
      <c r="I59" s="15">
        <v>822.43</v>
      </c>
      <c r="J59" s="15">
        <f t="shared" si="15"/>
        <v>57.570100000000004</v>
      </c>
      <c r="K59" s="15">
        <f t="shared" si="16"/>
        <v>880.00009999999997</v>
      </c>
    </row>
    <row r="60" spans="1:15" x14ac:dyDescent="0.5">
      <c r="B60">
        <v>9</v>
      </c>
      <c r="D60">
        <f t="shared" si="19"/>
        <v>0</v>
      </c>
      <c r="E60">
        <f t="shared" si="20"/>
        <v>0</v>
      </c>
      <c r="I60" s="15">
        <v>1588.79</v>
      </c>
      <c r="J60" s="15">
        <f t="shared" si="15"/>
        <v>111.21530000000001</v>
      </c>
      <c r="K60" s="15">
        <f t="shared" si="16"/>
        <v>1700.0053</v>
      </c>
    </row>
    <row r="61" spans="1:15" x14ac:dyDescent="0.5">
      <c r="B61">
        <v>10</v>
      </c>
      <c r="D61">
        <f t="shared" si="19"/>
        <v>0</v>
      </c>
      <c r="E61">
        <f t="shared" si="20"/>
        <v>0</v>
      </c>
      <c r="I61" s="15">
        <v>1261.68</v>
      </c>
      <c r="J61" s="15">
        <f t="shared" si="15"/>
        <v>88.317600000000013</v>
      </c>
      <c r="K61" s="15">
        <f t="shared" si="16"/>
        <v>1349.9976000000001</v>
      </c>
    </row>
    <row r="62" spans="1:15" x14ac:dyDescent="0.5">
      <c r="B62">
        <v>11</v>
      </c>
      <c r="D62">
        <f t="shared" si="19"/>
        <v>0</v>
      </c>
      <c r="E62">
        <f t="shared" si="20"/>
        <v>0</v>
      </c>
      <c r="I62" s="15">
        <v>1383.18</v>
      </c>
      <c r="J62" s="15">
        <f t="shared" si="15"/>
        <v>96.822600000000008</v>
      </c>
      <c r="K62" s="15">
        <f t="shared" si="16"/>
        <v>1480.0026</v>
      </c>
    </row>
    <row r="63" spans="1:15" x14ac:dyDescent="0.5">
      <c r="B63">
        <v>12</v>
      </c>
      <c r="D63">
        <f t="shared" si="19"/>
        <v>0</v>
      </c>
      <c r="E63">
        <f t="shared" si="20"/>
        <v>0</v>
      </c>
      <c r="I63" s="15">
        <v>1672.9</v>
      </c>
      <c r="J63" s="15">
        <f t="shared" si="15"/>
        <v>117.10300000000002</v>
      </c>
      <c r="K63" s="15">
        <f t="shared" si="16"/>
        <v>1790.0030000000002</v>
      </c>
    </row>
    <row r="64" spans="1:15" x14ac:dyDescent="0.5">
      <c r="B64">
        <v>13</v>
      </c>
      <c r="D64">
        <f t="shared" si="19"/>
        <v>0</v>
      </c>
      <c r="E64">
        <f t="shared" si="20"/>
        <v>0</v>
      </c>
      <c r="I64" s="3">
        <v>1186.92</v>
      </c>
      <c r="J64" s="3">
        <f t="shared" si="15"/>
        <v>83.084400000000016</v>
      </c>
      <c r="K64" s="15">
        <f t="shared" si="16"/>
        <v>1270.0044</v>
      </c>
    </row>
    <row r="65" spans="2:11" x14ac:dyDescent="0.5">
      <c r="B65">
        <v>14</v>
      </c>
      <c r="D65">
        <f t="shared" si="19"/>
        <v>0</v>
      </c>
      <c r="E65">
        <f t="shared" si="20"/>
        <v>0</v>
      </c>
      <c r="I65" s="3">
        <v>990.65</v>
      </c>
      <c r="J65" s="3">
        <f t="shared" si="15"/>
        <v>69.345500000000001</v>
      </c>
      <c r="K65" s="15">
        <f t="shared" si="16"/>
        <v>1059.9955</v>
      </c>
    </row>
    <row r="66" spans="2:11" x14ac:dyDescent="0.5">
      <c r="B66">
        <v>15</v>
      </c>
      <c r="D66">
        <f t="shared" si="19"/>
        <v>0</v>
      </c>
      <c r="E66">
        <f t="shared" si="20"/>
        <v>0</v>
      </c>
      <c r="I66" s="3">
        <v>1439.25</v>
      </c>
      <c r="J66" s="3">
        <f t="shared" si="15"/>
        <v>100.74750000000002</v>
      </c>
      <c r="K66" s="15">
        <f t="shared" si="16"/>
        <v>1539.9974999999999</v>
      </c>
    </row>
    <row r="67" spans="2:11" x14ac:dyDescent="0.5">
      <c r="B67">
        <v>16</v>
      </c>
      <c r="D67">
        <f t="shared" si="19"/>
        <v>0</v>
      </c>
      <c r="E67">
        <f t="shared" si="20"/>
        <v>0</v>
      </c>
      <c r="I67" s="3">
        <v>869.16</v>
      </c>
      <c r="J67" s="3">
        <f t="shared" si="15"/>
        <v>60.841200000000001</v>
      </c>
      <c r="K67" s="15">
        <f t="shared" si="16"/>
        <v>930.00119999999993</v>
      </c>
    </row>
    <row r="68" spans="2:11" x14ac:dyDescent="0.5">
      <c r="B68">
        <v>17</v>
      </c>
      <c r="D68">
        <f t="shared" si="19"/>
        <v>0</v>
      </c>
      <c r="E68">
        <f t="shared" si="20"/>
        <v>0</v>
      </c>
      <c r="I68" s="3">
        <v>1532.71</v>
      </c>
      <c r="J68" s="3">
        <f t="shared" si="15"/>
        <v>107.28970000000001</v>
      </c>
      <c r="K68" s="15">
        <f t="shared" si="16"/>
        <v>1639.9997000000001</v>
      </c>
    </row>
    <row r="69" spans="2:11" x14ac:dyDescent="0.5">
      <c r="B69">
        <v>18</v>
      </c>
      <c r="D69">
        <f t="shared" si="19"/>
        <v>0</v>
      </c>
      <c r="E69">
        <f t="shared" si="20"/>
        <v>0</v>
      </c>
      <c r="I69" s="3">
        <v>1364.49</v>
      </c>
      <c r="J69" s="3">
        <f t="shared" si="15"/>
        <v>95.514300000000006</v>
      </c>
      <c r="K69" s="15">
        <f t="shared" si="16"/>
        <v>1460.0043000000001</v>
      </c>
    </row>
    <row r="70" spans="2:11" x14ac:dyDescent="0.5">
      <c r="B70">
        <v>19</v>
      </c>
      <c r="D70">
        <f t="shared" si="19"/>
        <v>0</v>
      </c>
      <c r="E70">
        <f t="shared" si="20"/>
        <v>0</v>
      </c>
      <c r="I70" s="3">
        <v>1514.02</v>
      </c>
      <c r="J70" s="3">
        <f t="shared" si="15"/>
        <v>105.98140000000001</v>
      </c>
      <c r="K70" s="15">
        <f t="shared" si="16"/>
        <v>1620.0014000000001</v>
      </c>
    </row>
    <row r="71" spans="2:11" x14ac:dyDescent="0.5">
      <c r="B71">
        <v>20</v>
      </c>
      <c r="D71">
        <f t="shared" si="19"/>
        <v>0</v>
      </c>
      <c r="E71">
        <f t="shared" si="20"/>
        <v>0</v>
      </c>
      <c r="I71" s="3">
        <v>1579.44</v>
      </c>
      <c r="J71" s="3">
        <f t="shared" si="15"/>
        <v>110.56080000000001</v>
      </c>
      <c r="K71" s="15">
        <f t="shared" si="16"/>
        <v>1690.0008</v>
      </c>
    </row>
    <row r="72" spans="2:11" x14ac:dyDescent="0.5">
      <c r="B72">
        <v>21</v>
      </c>
      <c r="D72">
        <f t="shared" si="19"/>
        <v>0</v>
      </c>
      <c r="E72">
        <f t="shared" si="20"/>
        <v>0</v>
      </c>
      <c r="I72" s="3">
        <v>1121.5</v>
      </c>
      <c r="J72" s="3">
        <f t="shared" si="15"/>
        <v>78.50500000000001</v>
      </c>
      <c r="K72" s="15">
        <f t="shared" si="16"/>
        <v>1200.0050000000001</v>
      </c>
    </row>
    <row r="73" spans="2:11" x14ac:dyDescent="0.5">
      <c r="B73">
        <v>22</v>
      </c>
      <c r="D73">
        <f t="shared" si="19"/>
        <v>0</v>
      </c>
      <c r="E73">
        <f t="shared" si="20"/>
        <v>0</v>
      </c>
      <c r="I73" s="3"/>
      <c r="J73" s="3">
        <f t="shared" si="15"/>
        <v>0</v>
      </c>
      <c r="K73" s="15">
        <f t="shared" si="16"/>
        <v>0</v>
      </c>
    </row>
    <row r="74" spans="2:11" x14ac:dyDescent="0.5">
      <c r="B74">
        <v>23</v>
      </c>
      <c r="D74">
        <f t="shared" si="19"/>
        <v>0</v>
      </c>
      <c r="E74">
        <f t="shared" si="20"/>
        <v>0</v>
      </c>
      <c r="I74" s="3"/>
      <c r="J74" s="3">
        <f t="shared" si="15"/>
        <v>0</v>
      </c>
      <c r="K74" s="15">
        <f t="shared" si="16"/>
        <v>0</v>
      </c>
    </row>
    <row r="75" spans="2:11" x14ac:dyDescent="0.5">
      <c r="B75">
        <v>24</v>
      </c>
      <c r="D75">
        <f t="shared" si="19"/>
        <v>0</v>
      </c>
      <c r="E75">
        <f t="shared" si="20"/>
        <v>0</v>
      </c>
      <c r="I75" s="3"/>
      <c r="J75" s="3">
        <f t="shared" si="15"/>
        <v>0</v>
      </c>
      <c r="K75" s="21">
        <f t="shared" si="16"/>
        <v>0</v>
      </c>
    </row>
    <row r="76" spans="2:11" x14ac:dyDescent="0.5">
      <c r="B76">
        <v>25</v>
      </c>
      <c r="D76">
        <f t="shared" si="19"/>
        <v>0</v>
      </c>
      <c r="E76">
        <f t="shared" si="20"/>
        <v>0</v>
      </c>
      <c r="I76" s="3"/>
      <c r="J76" s="3">
        <f t="shared" si="15"/>
        <v>0</v>
      </c>
      <c r="K76" s="21">
        <f t="shared" si="16"/>
        <v>0</v>
      </c>
    </row>
    <row r="77" spans="2:11" x14ac:dyDescent="0.5">
      <c r="B77">
        <v>26</v>
      </c>
      <c r="D77">
        <f t="shared" si="19"/>
        <v>0</v>
      </c>
      <c r="E77">
        <f t="shared" si="20"/>
        <v>0</v>
      </c>
      <c r="I77" s="3"/>
      <c r="J77" s="3">
        <f t="shared" ref="J77:J87" si="21">I77*0.07</f>
        <v>0</v>
      </c>
      <c r="K77" s="21">
        <f t="shared" ref="K77:K87" si="22">I77+J77</f>
        <v>0</v>
      </c>
    </row>
    <row r="78" spans="2:11" x14ac:dyDescent="0.5">
      <c r="B78">
        <v>27</v>
      </c>
      <c r="D78">
        <f t="shared" si="19"/>
        <v>0</v>
      </c>
      <c r="E78">
        <f t="shared" si="20"/>
        <v>0</v>
      </c>
      <c r="I78" s="3"/>
      <c r="J78" s="3">
        <f t="shared" si="21"/>
        <v>0</v>
      </c>
      <c r="K78" s="21">
        <f t="shared" si="22"/>
        <v>0</v>
      </c>
    </row>
    <row r="79" spans="2:11" x14ac:dyDescent="0.5">
      <c r="B79">
        <v>28</v>
      </c>
      <c r="D79">
        <f t="shared" si="19"/>
        <v>0</v>
      </c>
      <c r="E79">
        <f t="shared" si="20"/>
        <v>0</v>
      </c>
      <c r="I79" s="3"/>
      <c r="J79" s="3">
        <f t="shared" si="21"/>
        <v>0</v>
      </c>
      <c r="K79" s="21">
        <f t="shared" si="22"/>
        <v>0</v>
      </c>
    </row>
    <row r="80" spans="2:11" x14ac:dyDescent="0.5">
      <c r="B80">
        <v>29</v>
      </c>
      <c r="D80">
        <f t="shared" si="19"/>
        <v>0</v>
      </c>
      <c r="E80">
        <f t="shared" si="20"/>
        <v>0</v>
      </c>
      <c r="I80" s="3"/>
      <c r="J80" s="3">
        <f t="shared" si="21"/>
        <v>0</v>
      </c>
      <c r="K80" s="21">
        <f t="shared" si="22"/>
        <v>0</v>
      </c>
    </row>
    <row r="81" spans="2:11" x14ac:dyDescent="0.5">
      <c r="B81">
        <v>30</v>
      </c>
      <c r="D81">
        <f t="shared" si="19"/>
        <v>0</v>
      </c>
      <c r="E81">
        <f t="shared" si="20"/>
        <v>0</v>
      </c>
      <c r="I81" s="3"/>
      <c r="J81" s="3">
        <f t="shared" si="21"/>
        <v>0</v>
      </c>
      <c r="K81" s="21">
        <f t="shared" si="22"/>
        <v>0</v>
      </c>
    </row>
    <row r="82" spans="2:11" x14ac:dyDescent="0.5">
      <c r="B82">
        <v>31</v>
      </c>
      <c r="D82">
        <f t="shared" si="19"/>
        <v>0</v>
      </c>
      <c r="E82">
        <f t="shared" si="20"/>
        <v>0</v>
      </c>
      <c r="I82" s="3"/>
      <c r="J82" s="3">
        <f t="shared" si="21"/>
        <v>0</v>
      </c>
      <c r="K82" s="21">
        <f t="shared" si="22"/>
        <v>0</v>
      </c>
    </row>
    <row r="83" spans="2:11" x14ac:dyDescent="0.5">
      <c r="B83">
        <v>32</v>
      </c>
      <c r="D83">
        <f t="shared" si="19"/>
        <v>0</v>
      </c>
      <c r="E83">
        <f t="shared" si="20"/>
        <v>0</v>
      </c>
      <c r="I83" s="3"/>
      <c r="J83" s="3">
        <f t="shared" si="21"/>
        <v>0</v>
      </c>
      <c r="K83" s="21">
        <f t="shared" si="22"/>
        <v>0</v>
      </c>
    </row>
    <row r="84" spans="2:11" x14ac:dyDescent="0.5">
      <c r="B84">
        <v>33</v>
      </c>
      <c r="D84">
        <f t="shared" si="19"/>
        <v>0</v>
      </c>
      <c r="E84">
        <f t="shared" si="20"/>
        <v>0</v>
      </c>
      <c r="I84" s="3"/>
      <c r="J84" s="3">
        <f t="shared" si="21"/>
        <v>0</v>
      </c>
      <c r="K84" s="21">
        <f t="shared" si="22"/>
        <v>0</v>
      </c>
    </row>
    <row r="85" spans="2:11" x14ac:dyDescent="0.5">
      <c r="B85">
        <v>34</v>
      </c>
      <c r="D85">
        <f t="shared" si="19"/>
        <v>0</v>
      </c>
      <c r="E85">
        <f t="shared" si="20"/>
        <v>0</v>
      </c>
      <c r="J85" s="3">
        <f t="shared" si="21"/>
        <v>0</v>
      </c>
      <c r="K85" s="21">
        <f t="shared" si="22"/>
        <v>0</v>
      </c>
    </row>
    <row r="86" spans="2:11" x14ac:dyDescent="0.5">
      <c r="B86">
        <v>35</v>
      </c>
      <c r="D86">
        <f t="shared" si="19"/>
        <v>0</v>
      </c>
      <c r="E86">
        <f t="shared" si="20"/>
        <v>0</v>
      </c>
      <c r="J86" s="3">
        <f t="shared" si="21"/>
        <v>0</v>
      </c>
      <c r="K86" s="21">
        <f t="shared" si="22"/>
        <v>0</v>
      </c>
    </row>
    <row r="87" spans="2:11" x14ac:dyDescent="0.5">
      <c r="B87">
        <v>36</v>
      </c>
      <c r="D87">
        <f t="shared" si="19"/>
        <v>0</v>
      </c>
      <c r="E87">
        <f t="shared" si="20"/>
        <v>0</v>
      </c>
      <c r="J87" s="3">
        <f t="shared" si="21"/>
        <v>0</v>
      </c>
      <c r="K87" s="21">
        <f t="shared" si="22"/>
        <v>0</v>
      </c>
    </row>
    <row r="88" spans="2:11" x14ac:dyDescent="0.5">
      <c r="C88">
        <f>SUM(C52:C87)</f>
        <v>0</v>
      </c>
      <c r="D88">
        <f t="shared" ref="D88:E88" si="23">SUM(D52:D87)</f>
        <v>0</v>
      </c>
      <c r="E88">
        <f t="shared" si="23"/>
        <v>0</v>
      </c>
      <c r="J88" s="3">
        <f t="shared" ref="J88" si="24">I88*0.07</f>
        <v>0</v>
      </c>
      <c r="K88" s="21">
        <f t="shared" ref="K88" si="25">I88+J88</f>
        <v>0</v>
      </c>
    </row>
  </sheetData>
  <mergeCells count="111">
    <mergeCell ref="F43:G43"/>
    <mergeCell ref="B15:C15"/>
    <mergeCell ref="D15:E15"/>
    <mergeCell ref="F15:G15"/>
    <mergeCell ref="B29:C29"/>
    <mergeCell ref="D29:E29"/>
    <mergeCell ref="F29:G29"/>
    <mergeCell ref="D28:E28"/>
    <mergeCell ref="F28:G28"/>
    <mergeCell ref="B16:C16"/>
    <mergeCell ref="D16:E16"/>
    <mergeCell ref="F16:G16"/>
    <mergeCell ref="B18:C18"/>
    <mergeCell ref="D18:E18"/>
    <mergeCell ref="F18:G18"/>
    <mergeCell ref="L1:O1"/>
    <mergeCell ref="L28:O28"/>
    <mergeCell ref="B20:C20"/>
    <mergeCell ref="D20:E20"/>
    <mergeCell ref="F20:G20"/>
    <mergeCell ref="A22:E22"/>
    <mergeCell ref="F22:G22"/>
    <mergeCell ref="B7:C7"/>
    <mergeCell ref="D7:E7"/>
    <mergeCell ref="F7:G7"/>
    <mergeCell ref="B8:C8"/>
    <mergeCell ref="D8:E8"/>
    <mergeCell ref="F8:G8"/>
    <mergeCell ref="A25:H25"/>
    <mergeCell ref="A26:H26"/>
    <mergeCell ref="B28:C28"/>
    <mergeCell ref="F12:G12"/>
    <mergeCell ref="B5:C5"/>
    <mergeCell ref="D5:E5"/>
    <mergeCell ref="F5:G5"/>
    <mergeCell ref="A1:H1"/>
    <mergeCell ref="A2:H2"/>
    <mergeCell ref="B4:C4"/>
    <mergeCell ref="D4:E4"/>
    <mergeCell ref="A50:E50"/>
    <mergeCell ref="F50:G50"/>
    <mergeCell ref="A31:H31"/>
    <mergeCell ref="A32:H32"/>
    <mergeCell ref="B34:C34"/>
    <mergeCell ref="D34:E34"/>
    <mergeCell ref="F34:G34"/>
    <mergeCell ref="B35:C35"/>
    <mergeCell ref="D35:E35"/>
    <mergeCell ref="F35:G35"/>
    <mergeCell ref="D36:E36"/>
    <mergeCell ref="F36:G36"/>
    <mergeCell ref="B48:C48"/>
    <mergeCell ref="D48:E48"/>
    <mergeCell ref="F48:G48"/>
    <mergeCell ref="B40:C40"/>
    <mergeCell ref="B47:C47"/>
    <mergeCell ref="D47:E47"/>
    <mergeCell ref="F47:G47"/>
    <mergeCell ref="B46:C46"/>
    <mergeCell ref="D46:E46"/>
    <mergeCell ref="F46:G46"/>
    <mergeCell ref="B45:C45"/>
    <mergeCell ref="D45:E45"/>
    <mergeCell ref="F4:G4"/>
    <mergeCell ref="D41:E41"/>
    <mergeCell ref="F41:G41"/>
    <mergeCell ref="B9:C9"/>
    <mergeCell ref="D9:E9"/>
    <mergeCell ref="F9:G9"/>
    <mergeCell ref="B14:C14"/>
    <mergeCell ref="D14:E14"/>
    <mergeCell ref="F14:G14"/>
    <mergeCell ref="B10:C10"/>
    <mergeCell ref="D10:E10"/>
    <mergeCell ref="F10:G10"/>
    <mergeCell ref="B11:C11"/>
    <mergeCell ref="D11:E11"/>
    <mergeCell ref="F11:G11"/>
    <mergeCell ref="B12:C12"/>
    <mergeCell ref="D12:E12"/>
    <mergeCell ref="B13:C13"/>
    <mergeCell ref="D13:E13"/>
    <mergeCell ref="F13:G13"/>
    <mergeCell ref="B17:C17"/>
    <mergeCell ref="D17:E17"/>
    <mergeCell ref="F17:G17"/>
    <mergeCell ref="B37:C37"/>
    <mergeCell ref="F45:G45"/>
    <mergeCell ref="B19:C19"/>
    <mergeCell ref="D19:E19"/>
    <mergeCell ref="F19:G19"/>
    <mergeCell ref="B38:C38"/>
    <mergeCell ref="D38:E38"/>
    <mergeCell ref="F38:G38"/>
    <mergeCell ref="B39:C39"/>
    <mergeCell ref="D39:E39"/>
    <mergeCell ref="F39:G39"/>
    <mergeCell ref="B36:C36"/>
    <mergeCell ref="D40:E40"/>
    <mergeCell ref="F40:G40"/>
    <mergeCell ref="B41:C41"/>
    <mergeCell ref="D37:E37"/>
    <mergeCell ref="F37:G37"/>
    <mergeCell ref="B44:C44"/>
    <mergeCell ref="D44:E44"/>
    <mergeCell ref="F44:G44"/>
    <mergeCell ref="B42:C42"/>
    <mergeCell ref="D42:E42"/>
    <mergeCell ref="F42:G42"/>
    <mergeCell ref="B43:C43"/>
    <mergeCell ref="D43:E4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workbookViewId="0">
      <selection activeCell="C6" sqref="C6"/>
    </sheetView>
  </sheetViews>
  <sheetFormatPr defaultRowHeight="14.25" x14ac:dyDescent="0.2"/>
  <cols>
    <col min="3" max="3" width="16.375" customWidth="1"/>
    <col min="5" max="5" width="12" customWidth="1"/>
    <col min="7" max="7" width="12.125" customWidth="1"/>
    <col min="8" max="8" width="8.5" customWidth="1"/>
    <col min="9" max="9" width="15.125" style="15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5" max="15" width="10.25" customWidth="1"/>
  </cols>
  <sheetData>
    <row r="1" spans="1:15" ht="34.5" x14ac:dyDescent="0.7">
      <c r="A1" s="145" t="s">
        <v>33</v>
      </c>
      <c r="B1" s="145"/>
      <c r="C1" s="145"/>
      <c r="D1" s="145"/>
      <c r="E1" s="145"/>
      <c r="F1" s="145"/>
      <c r="G1" s="145"/>
      <c r="H1" s="145"/>
      <c r="I1" s="15">
        <f>157143.53*3</f>
        <v>471430.58999999997</v>
      </c>
      <c r="J1">
        <v>471400</v>
      </c>
      <c r="K1">
        <f>ROUND(J1*7/107,2)</f>
        <v>30839.25</v>
      </c>
      <c r="L1">
        <f>J1-K1</f>
        <v>440560.75</v>
      </c>
    </row>
    <row r="2" spans="1:15" ht="31.5" x14ac:dyDescent="0.65">
      <c r="A2" s="146" t="s">
        <v>104</v>
      </c>
      <c r="B2" s="146"/>
      <c r="C2" s="146"/>
      <c r="D2" s="146"/>
      <c r="E2" s="146"/>
      <c r="F2" s="146"/>
      <c r="G2" s="146"/>
      <c r="H2" s="146"/>
    </row>
    <row r="3" spans="1:15" ht="31.5" x14ac:dyDescent="0.65">
      <c r="A3" s="39"/>
      <c r="B3" s="39"/>
      <c r="C3" s="39"/>
      <c r="D3" s="39"/>
      <c r="E3" s="39"/>
      <c r="F3" s="39"/>
      <c r="G3" s="39"/>
      <c r="I3" s="15">
        <f>C6*7/107</f>
        <v>0</v>
      </c>
      <c r="J3" s="34">
        <f>C6-I3</f>
        <v>0</v>
      </c>
      <c r="L3">
        <f>SUM(L4:L12)</f>
        <v>0</v>
      </c>
      <c r="N3" s="16"/>
      <c r="O3" s="16"/>
    </row>
    <row r="4" spans="1:15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41"/>
      <c r="N4" s="16"/>
      <c r="O4" s="16"/>
    </row>
    <row r="5" spans="1:15" ht="28.5" x14ac:dyDescent="0.7">
      <c r="A5" s="9"/>
      <c r="B5" s="137" t="s">
        <v>107</v>
      </c>
      <c r="C5" s="137"/>
      <c r="D5" s="143">
        <v>440560.75</v>
      </c>
      <c r="E5" s="143"/>
      <c r="F5" s="143">
        <v>30839.25</v>
      </c>
      <c r="G5" s="143"/>
      <c r="H5" s="2"/>
      <c r="I5" s="15">
        <f>D5*0.07</f>
        <v>30839.252500000002</v>
      </c>
      <c r="J5" s="21">
        <f>D5+F5</f>
        <v>471400</v>
      </c>
      <c r="K5" s="3"/>
      <c r="N5" s="16"/>
    </row>
    <row r="6" spans="1:15" ht="26.25" x14ac:dyDescent="0.55000000000000004">
      <c r="A6" s="38"/>
      <c r="B6" s="38"/>
      <c r="C6" s="38"/>
      <c r="D6" s="40"/>
      <c r="E6" s="40"/>
      <c r="F6" s="40"/>
      <c r="G6" s="40"/>
      <c r="H6" s="2"/>
      <c r="J6" s="3"/>
    </row>
    <row r="7" spans="1:15" ht="26.25" x14ac:dyDescent="0.55000000000000004">
      <c r="B7" s="137" t="s">
        <v>9</v>
      </c>
      <c r="C7" s="137"/>
      <c r="D7" s="139">
        <v>157143.53</v>
      </c>
      <c r="E7" s="139"/>
      <c r="F7" s="139">
        <v>11000.05</v>
      </c>
      <c r="G7" s="139"/>
      <c r="H7" s="2"/>
      <c r="I7" s="15">
        <f t="shared" ref="I7:I13" si="0">D7*0.07</f>
        <v>11000.047100000002</v>
      </c>
      <c r="J7" s="21">
        <f t="shared" ref="J7:J12" si="1">D7+F7</f>
        <v>168143.58</v>
      </c>
    </row>
    <row r="8" spans="1:15" ht="23.25" customHeight="1" x14ac:dyDescent="0.55000000000000004">
      <c r="A8" s="9"/>
      <c r="B8" s="137" t="s">
        <v>23</v>
      </c>
      <c r="C8" s="137"/>
      <c r="D8" s="139">
        <v>37794.5</v>
      </c>
      <c r="E8" s="139"/>
      <c r="F8" s="139">
        <v>2645.62</v>
      </c>
      <c r="G8" s="139"/>
      <c r="H8" s="2"/>
      <c r="I8" s="15">
        <f t="shared" si="0"/>
        <v>2645.6150000000002</v>
      </c>
      <c r="J8" s="21">
        <f t="shared" si="1"/>
        <v>40440.120000000003</v>
      </c>
      <c r="K8" s="3"/>
    </row>
    <row r="9" spans="1:15" ht="26.25" x14ac:dyDescent="0.55000000000000004">
      <c r="A9" s="9"/>
      <c r="B9" s="137" t="s">
        <v>10</v>
      </c>
      <c r="C9" s="137"/>
      <c r="D9" s="139">
        <v>102803.74</v>
      </c>
      <c r="E9" s="139"/>
      <c r="F9" s="139">
        <v>7196.26</v>
      </c>
      <c r="G9" s="139"/>
      <c r="H9" s="2"/>
      <c r="I9" s="15">
        <f t="shared" si="0"/>
        <v>7196.2618000000011</v>
      </c>
      <c r="J9" s="21">
        <f t="shared" si="1"/>
        <v>110000</v>
      </c>
    </row>
    <row r="10" spans="1:15" ht="26.25" x14ac:dyDescent="0.55000000000000004">
      <c r="A10" s="9"/>
      <c r="B10" s="137" t="s">
        <v>36</v>
      </c>
      <c r="C10" s="137"/>
      <c r="D10" s="155">
        <v>0</v>
      </c>
      <c r="E10" s="155"/>
      <c r="F10" s="155">
        <v>0</v>
      </c>
      <c r="G10" s="155"/>
      <c r="H10" s="4"/>
      <c r="I10" s="15">
        <f t="shared" ref="I10" si="2">D10*0.07</f>
        <v>0</v>
      </c>
      <c r="J10" s="21">
        <f t="shared" si="1"/>
        <v>0</v>
      </c>
    </row>
    <row r="11" spans="1:15" ht="26.25" x14ac:dyDescent="0.55000000000000004">
      <c r="A11" s="9"/>
      <c r="B11" s="137" t="s">
        <v>34</v>
      </c>
      <c r="C11" s="137"/>
      <c r="D11" s="155"/>
      <c r="E11" s="155"/>
      <c r="F11" s="155"/>
      <c r="G11" s="155"/>
      <c r="H11" s="4"/>
      <c r="I11" s="15">
        <f t="shared" si="0"/>
        <v>0</v>
      </c>
      <c r="J11" s="21">
        <f t="shared" si="1"/>
        <v>0</v>
      </c>
    </row>
    <row r="12" spans="1:15" ht="28.5" x14ac:dyDescent="0.7">
      <c r="A12" s="9"/>
      <c r="B12" s="137" t="s">
        <v>25</v>
      </c>
      <c r="C12" s="137"/>
      <c r="D12" s="138">
        <v>0</v>
      </c>
      <c r="E12" s="138"/>
      <c r="F12" s="138">
        <v>0</v>
      </c>
      <c r="G12" s="138"/>
      <c r="H12" s="4"/>
      <c r="I12" s="15">
        <f t="shared" si="0"/>
        <v>0</v>
      </c>
      <c r="J12" s="21">
        <f t="shared" si="1"/>
        <v>0</v>
      </c>
    </row>
    <row r="13" spans="1:15" ht="28.5" x14ac:dyDescent="0.7">
      <c r="A13" s="9"/>
      <c r="B13" s="137" t="s">
        <v>2</v>
      </c>
      <c r="C13" s="137"/>
      <c r="D13" s="140">
        <f>SUM(D7:E12)</f>
        <v>297741.77</v>
      </c>
      <c r="E13" s="141"/>
      <c r="F13" s="140">
        <f>SUM(F7:G12)</f>
        <v>20841.93</v>
      </c>
      <c r="G13" s="140"/>
      <c r="H13" s="41"/>
      <c r="I13" s="15">
        <f t="shared" si="0"/>
        <v>20841.923900000002</v>
      </c>
      <c r="J13" s="21"/>
    </row>
    <row r="14" spans="1:15" ht="26.25" x14ac:dyDescent="0.55000000000000004">
      <c r="A14" s="5"/>
      <c r="B14" s="5"/>
      <c r="C14" s="5"/>
      <c r="D14" s="7"/>
      <c r="E14" s="5"/>
      <c r="F14" s="7"/>
      <c r="G14" s="5"/>
      <c r="H14" s="41"/>
      <c r="J14" s="3"/>
    </row>
    <row r="15" spans="1:15" ht="28.5" x14ac:dyDescent="0.7">
      <c r="A15" s="142" t="s">
        <v>3</v>
      </c>
      <c r="B15" s="142"/>
      <c r="C15" s="142"/>
      <c r="D15" s="142"/>
      <c r="E15" s="142"/>
      <c r="F15" s="140">
        <f>F5-F13</f>
        <v>9997.32</v>
      </c>
      <c r="G15" s="141"/>
      <c r="H15" s="41"/>
    </row>
    <row r="17" spans="1:12" ht="31.5" x14ac:dyDescent="0.65">
      <c r="A17" s="146"/>
      <c r="B17" s="146"/>
      <c r="C17" s="146"/>
      <c r="D17" s="146"/>
      <c r="E17" s="146"/>
      <c r="F17" s="146"/>
      <c r="G17" s="146"/>
      <c r="H17" s="146"/>
    </row>
    <row r="18" spans="1:12" ht="26.25" x14ac:dyDescent="0.55000000000000004">
      <c r="B18" s="144"/>
      <c r="C18" s="144"/>
      <c r="D18" s="152">
        <f>D5-D13</f>
        <v>142818.97999999998</v>
      </c>
      <c r="E18" s="144"/>
      <c r="F18" s="144"/>
      <c r="G18" s="144"/>
      <c r="H18" s="41"/>
    </row>
    <row r="19" spans="1:12" ht="26.25" x14ac:dyDescent="0.55000000000000004">
      <c r="A19" s="9"/>
      <c r="B19" s="153"/>
      <c r="C19" s="153"/>
      <c r="D19" s="154"/>
      <c r="E19" s="154"/>
      <c r="F19" s="154"/>
      <c r="G19" s="154"/>
      <c r="H19" s="2"/>
    </row>
    <row r="20" spans="1:12" ht="28.5" x14ac:dyDescent="0.7">
      <c r="A20" s="142"/>
      <c r="B20" s="142"/>
      <c r="C20" s="142"/>
      <c r="D20" s="142"/>
      <c r="E20" s="142"/>
      <c r="F20" s="140"/>
      <c r="G20" s="141"/>
      <c r="H20" s="37"/>
      <c r="J20">
        <f>SUM(J21:J27)</f>
        <v>24841.129999999997</v>
      </c>
      <c r="K20">
        <f>ROUND(J20*0.07,2)</f>
        <v>1738.88</v>
      </c>
      <c r="L20">
        <f>J20+K20</f>
        <v>26580.01</v>
      </c>
    </row>
    <row r="21" spans="1:12" x14ac:dyDescent="0.2">
      <c r="J21">
        <v>15850.47</v>
      </c>
    </row>
    <row r="22" spans="1:12" x14ac:dyDescent="0.2">
      <c r="J22">
        <v>140.19</v>
      </c>
    </row>
    <row r="23" spans="1:12" x14ac:dyDescent="0.2">
      <c r="J23">
        <v>93.46</v>
      </c>
    </row>
    <row r="24" spans="1:12" x14ac:dyDescent="0.2">
      <c r="J24">
        <v>8757.01</v>
      </c>
    </row>
  </sheetData>
  <mergeCells count="40">
    <mergeCell ref="B5:C5"/>
    <mergeCell ref="D5:E5"/>
    <mergeCell ref="F5:G5"/>
    <mergeCell ref="B7:C7"/>
    <mergeCell ref="D7:E7"/>
    <mergeCell ref="F7:G7"/>
    <mergeCell ref="A1:H1"/>
    <mergeCell ref="A2:H2"/>
    <mergeCell ref="B4:C4"/>
    <mergeCell ref="D4:E4"/>
    <mergeCell ref="F4:G4"/>
    <mergeCell ref="F8:G8"/>
    <mergeCell ref="B9:C9"/>
    <mergeCell ref="D9:E9"/>
    <mergeCell ref="F9:G9"/>
    <mergeCell ref="B12:C12"/>
    <mergeCell ref="D12:E12"/>
    <mergeCell ref="F12:G12"/>
    <mergeCell ref="B11:C11"/>
    <mergeCell ref="D11:E11"/>
    <mergeCell ref="F11:G11"/>
    <mergeCell ref="B8:C8"/>
    <mergeCell ref="D8:E8"/>
    <mergeCell ref="B10:C10"/>
    <mergeCell ref="D10:E10"/>
    <mergeCell ref="F10:G10"/>
    <mergeCell ref="B13:C13"/>
    <mergeCell ref="D13:E13"/>
    <mergeCell ref="F13:G13"/>
    <mergeCell ref="A15:E15"/>
    <mergeCell ref="F15:G15"/>
    <mergeCell ref="A20:E20"/>
    <mergeCell ref="F20:G20"/>
    <mergeCell ref="A17:H17"/>
    <mergeCell ref="B18:C18"/>
    <mergeCell ref="D18:E18"/>
    <mergeCell ref="F18:G18"/>
    <mergeCell ref="B19:C19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D693-CD6E-433F-8C02-10744BBA8551}">
  <dimension ref="A1:O188"/>
  <sheetViews>
    <sheetView workbookViewId="0">
      <selection activeCell="A2" sqref="A2:H2"/>
    </sheetView>
  </sheetViews>
  <sheetFormatPr defaultRowHeight="14.25" x14ac:dyDescent="0.2"/>
  <cols>
    <col min="3" max="3" width="16.375" customWidth="1"/>
    <col min="5" max="5" width="12" customWidth="1"/>
    <col min="7" max="7" width="12.125" customWidth="1"/>
    <col min="8" max="8" width="8.5" customWidth="1"/>
    <col min="9" max="9" width="15.125" style="15" customWidth="1"/>
    <col min="10" max="10" width="16" customWidth="1"/>
    <col min="11" max="11" width="11.625" bestFit="1" customWidth="1"/>
    <col min="12" max="12" width="12.375" customWidth="1"/>
    <col min="13" max="13" width="14.5" customWidth="1"/>
    <col min="14" max="14" width="22" customWidth="1"/>
    <col min="15" max="15" width="10.25" customWidth="1"/>
  </cols>
  <sheetData>
    <row r="1" spans="1:15" ht="34.5" x14ac:dyDescent="0.7">
      <c r="A1" s="145" t="s">
        <v>108</v>
      </c>
      <c r="B1" s="145"/>
      <c r="C1" s="145"/>
      <c r="D1" s="145"/>
      <c r="E1" s="145"/>
      <c r="F1" s="145"/>
      <c r="G1" s="145"/>
      <c r="H1" s="145"/>
    </row>
    <row r="2" spans="1:15" ht="31.5" x14ac:dyDescent="0.65">
      <c r="A2" s="146" t="s">
        <v>93</v>
      </c>
      <c r="B2" s="146"/>
      <c r="C2" s="146"/>
      <c r="D2" s="146"/>
      <c r="E2" s="146"/>
      <c r="F2" s="146"/>
      <c r="G2" s="146"/>
      <c r="H2" s="146"/>
    </row>
    <row r="3" spans="1:15" ht="31.5" x14ac:dyDescent="0.65">
      <c r="A3" s="134"/>
      <c r="B3" s="134"/>
      <c r="C3" s="134"/>
      <c r="D3" s="134"/>
      <c r="E3" s="134"/>
      <c r="F3" s="134"/>
      <c r="G3" s="134"/>
      <c r="I3" s="15">
        <f>C6*7/107</f>
        <v>0</v>
      </c>
      <c r="J3" s="34">
        <f>C6-I3</f>
        <v>0</v>
      </c>
      <c r="L3">
        <f>SUM(L4:L11)</f>
        <v>0</v>
      </c>
      <c r="N3" s="16"/>
      <c r="O3" s="16"/>
    </row>
    <row r="4" spans="1:15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136"/>
      <c r="N4" s="16"/>
      <c r="O4" s="16"/>
    </row>
    <row r="5" spans="1:15" ht="28.5" x14ac:dyDescent="0.7">
      <c r="A5" s="9"/>
      <c r="B5" s="137" t="s">
        <v>0</v>
      </c>
      <c r="C5" s="137"/>
      <c r="D5" s="143">
        <v>0</v>
      </c>
      <c r="E5" s="143"/>
      <c r="F5" s="143">
        <v>0</v>
      </c>
      <c r="G5" s="143"/>
      <c r="H5" s="2"/>
      <c r="I5" s="15">
        <f>D5*0.07</f>
        <v>0</v>
      </c>
      <c r="J5" s="21">
        <f>D5+F5</f>
        <v>0</v>
      </c>
      <c r="K5" s="3"/>
      <c r="N5" s="16"/>
    </row>
    <row r="6" spans="1:15" ht="26.25" x14ac:dyDescent="0.55000000000000004">
      <c r="A6" s="135"/>
      <c r="B6" s="135"/>
      <c r="C6" s="135"/>
      <c r="D6" s="133"/>
      <c r="E6" s="133"/>
      <c r="F6" s="133"/>
      <c r="G6" s="133"/>
      <c r="H6" s="2"/>
      <c r="J6" s="3"/>
    </row>
    <row r="7" spans="1:15" ht="26.25" x14ac:dyDescent="0.55000000000000004">
      <c r="B7" s="137" t="s">
        <v>8</v>
      </c>
      <c r="C7" s="137"/>
      <c r="D7" s="139"/>
      <c r="E7" s="139"/>
      <c r="F7" s="139"/>
      <c r="G7" s="139"/>
      <c r="H7" s="2"/>
      <c r="I7" s="15">
        <f t="shared" ref="I7:I12" si="0">D7*0.07</f>
        <v>0</v>
      </c>
      <c r="J7" s="21">
        <f t="shared" ref="J7:J11" si="1">D7+F7</f>
        <v>0</v>
      </c>
    </row>
    <row r="8" spans="1:15" ht="23.25" customHeight="1" x14ac:dyDescent="0.55000000000000004">
      <c r="A8" s="9"/>
      <c r="B8" s="137" t="s">
        <v>43</v>
      </c>
      <c r="C8" s="137"/>
      <c r="D8" s="139"/>
      <c r="E8" s="139"/>
      <c r="F8" s="139"/>
      <c r="G8" s="139"/>
      <c r="H8" s="2"/>
      <c r="I8" s="15">
        <f t="shared" si="0"/>
        <v>0</v>
      </c>
      <c r="J8" s="21">
        <f t="shared" si="1"/>
        <v>0</v>
      </c>
      <c r="K8" s="3"/>
    </row>
    <row r="9" spans="1:15" ht="26.25" x14ac:dyDescent="0.55000000000000004">
      <c r="A9" s="9"/>
      <c r="B9" s="137" t="s">
        <v>1</v>
      </c>
      <c r="C9" s="137"/>
      <c r="D9" s="155"/>
      <c r="E9" s="155"/>
      <c r="F9" s="155"/>
      <c r="G9" s="155"/>
      <c r="H9" s="4"/>
      <c r="I9" s="15">
        <f t="shared" si="0"/>
        <v>0</v>
      </c>
      <c r="J9" s="21">
        <f t="shared" si="1"/>
        <v>0</v>
      </c>
    </row>
    <row r="10" spans="1:15" ht="26.25" x14ac:dyDescent="0.55000000000000004">
      <c r="A10" s="9"/>
      <c r="B10" s="137" t="s">
        <v>44</v>
      </c>
      <c r="C10" s="137"/>
      <c r="D10" s="155"/>
      <c r="E10" s="155"/>
      <c r="F10" s="155"/>
      <c r="G10" s="155"/>
      <c r="H10" s="4"/>
      <c r="I10" s="15">
        <f t="shared" si="0"/>
        <v>0</v>
      </c>
      <c r="J10" s="21">
        <f t="shared" si="1"/>
        <v>0</v>
      </c>
    </row>
    <row r="11" spans="1:15" ht="28.5" x14ac:dyDescent="0.7">
      <c r="A11" s="9"/>
      <c r="B11" s="137" t="s">
        <v>45</v>
      </c>
      <c r="C11" s="137"/>
      <c r="D11" s="138"/>
      <c r="E11" s="138"/>
      <c r="F11" s="138"/>
      <c r="G11" s="138"/>
      <c r="H11" s="4"/>
      <c r="I11" s="15">
        <f t="shared" si="0"/>
        <v>0</v>
      </c>
      <c r="J11" s="21">
        <f t="shared" si="1"/>
        <v>0</v>
      </c>
    </row>
    <row r="12" spans="1:15" ht="28.5" x14ac:dyDescent="0.7">
      <c r="A12" s="9"/>
      <c r="B12" s="137" t="s">
        <v>2</v>
      </c>
      <c r="C12" s="137"/>
      <c r="D12" s="140">
        <f>SUM(D7:E11)</f>
        <v>0</v>
      </c>
      <c r="E12" s="141"/>
      <c r="F12" s="140">
        <f>SUM(F7:G11)</f>
        <v>0</v>
      </c>
      <c r="G12" s="140"/>
      <c r="H12" s="136"/>
      <c r="I12" s="15">
        <f t="shared" si="0"/>
        <v>0</v>
      </c>
      <c r="J12" s="21"/>
    </row>
    <row r="13" spans="1:15" ht="26.25" x14ac:dyDescent="0.55000000000000004">
      <c r="A13" s="5"/>
      <c r="B13" s="5"/>
      <c r="C13" s="5"/>
      <c r="D13" s="7"/>
      <c r="E13" s="5"/>
      <c r="F13" s="7"/>
      <c r="G13" s="5"/>
      <c r="H13" s="136"/>
      <c r="J13" s="3"/>
    </row>
    <row r="14" spans="1:15" ht="28.5" x14ac:dyDescent="0.7">
      <c r="A14" s="142" t="s">
        <v>3</v>
      </c>
      <c r="B14" s="142"/>
      <c r="C14" s="142"/>
      <c r="D14" s="142"/>
      <c r="E14" s="142"/>
      <c r="F14" s="140">
        <f>F5-F12</f>
        <v>0</v>
      </c>
      <c r="G14" s="141"/>
      <c r="H14" s="136"/>
    </row>
    <row r="16" spans="1:15" ht="28.5" x14ac:dyDescent="0.7">
      <c r="A16" s="9"/>
      <c r="B16" s="137"/>
      <c r="C16" s="137"/>
      <c r="D16" s="140"/>
      <c r="E16" s="141"/>
      <c r="F16" s="140"/>
      <c r="G16" s="141"/>
      <c r="H16" s="136"/>
      <c r="I16" s="15" t="s">
        <v>8</v>
      </c>
      <c r="J16" t="s">
        <v>43</v>
      </c>
      <c r="L16" t="s">
        <v>1</v>
      </c>
      <c r="M16" t="s">
        <v>44</v>
      </c>
      <c r="N16" t="s">
        <v>24</v>
      </c>
    </row>
    <row r="17" spans="1:14" ht="28.5" x14ac:dyDescent="0.7">
      <c r="A17" s="142"/>
      <c r="B17" s="142"/>
      <c r="C17" s="142"/>
      <c r="D17" s="142"/>
      <c r="E17" s="142"/>
      <c r="F17" s="140"/>
      <c r="G17" s="141"/>
      <c r="H17" s="136"/>
      <c r="I17" s="15">
        <f>SUM(I18:I37)</f>
        <v>2856000</v>
      </c>
      <c r="J17" s="15">
        <f>SUM(J18:J37)</f>
        <v>80800</v>
      </c>
      <c r="K17" s="15"/>
      <c r="L17" s="15">
        <f t="shared" ref="L17:N17" si="2">SUM(L18:L37)</f>
        <v>9158.8900000000012</v>
      </c>
      <c r="M17" s="15">
        <f t="shared" si="2"/>
        <v>1050</v>
      </c>
      <c r="N17" s="15">
        <f t="shared" si="2"/>
        <v>2731.03</v>
      </c>
    </row>
    <row r="18" spans="1:14" x14ac:dyDescent="0.2">
      <c r="H18">
        <v>1</v>
      </c>
      <c r="I18" s="15">
        <v>234000</v>
      </c>
      <c r="J18" s="15">
        <v>8100</v>
      </c>
      <c r="L18">
        <v>934.58</v>
      </c>
      <c r="M18">
        <v>1050</v>
      </c>
      <c r="N18">
        <v>1928.41</v>
      </c>
    </row>
    <row r="19" spans="1:14" x14ac:dyDescent="0.2">
      <c r="H19">
        <v>2</v>
      </c>
      <c r="I19" s="15">
        <v>338000</v>
      </c>
      <c r="J19" s="15">
        <v>8100</v>
      </c>
      <c r="L19">
        <v>934.58</v>
      </c>
      <c r="N19">
        <v>802.62</v>
      </c>
    </row>
    <row r="20" spans="1:14" x14ac:dyDescent="0.2">
      <c r="H20">
        <v>3</v>
      </c>
      <c r="I20" s="15">
        <v>280000</v>
      </c>
      <c r="J20" s="15">
        <v>8000</v>
      </c>
      <c r="L20">
        <v>934.58</v>
      </c>
    </row>
    <row r="21" spans="1:14" x14ac:dyDescent="0.2">
      <c r="H21">
        <v>4</v>
      </c>
      <c r="I21" s="15">
        <v>154000</v>
      </c>
      <c r="J21" s="15">
        <v>8000</v>
      </c>
      <c r="L21">
        <v>934.58</v>
      </c>
    </row>
    <row r="22" spans="1:14" x14ac:dyDescent="0.2">
      <c r="H22">
        <v>5</v>
      </c>
      <c r="I22" s="15">
        <v>342000</v>
      </c>
      <c r="J22" s="15">
        <v>8100</v>
      </c>
      <c r="L22">
        <v>1317.76</v>
      </c>
    </row>
    <row r="23" spans="1:14" x14ac:dyDescent="0.2">
      <c r="H23">
        <v>6</v>
      </c>
      <c r="I23" s="15">
        <v>252000</v>
      </c>
      <c r="J23" s="15">
        <v>8100</v>
      </c>
      <c r="L23">
        <v>1130.8499999999999</v>
      </c>
    </row>
    <row r="24" spans="1:14" x14ac:dyDescent="0.2">
      <c r="H24">
        <v>7</v>
      </c>
      <c r="I24" s="15">
        <v>274000</v>
      </c>
      <c r="J24" s="15">
        <v>8100</v>
      </c>
      <c r="L24">
        <v>467.29</v>
      </c>
    </row>
    <row r="25" spans="1:14" x14ac:dyDescent="0.2">
      <c r="H25">
        <v>8</v>
      </c>
      <c r="I25" s="15">
        <v>362000</v>
      </c>
      <c r="J25" s="15">
        <v>8100</v>
      </c>
      <c r="L25">
        <v>1355.14</v>
      </c>
    </row>
    <row r="26" spans="1:14" x14ac:dyDescent="0.2">
      <c r="H26">
        <v>9</v>
      </c>
      <c r="I26" s="15">
        <v>298000</v>
      </c>
      <c r="J26" s="15">
        <v>8100</v>
      </c>
      <c r="L26">
        <v>1149.53</v>
      </c>
    </row>
    <row r="27" spans="1:14" x14ac:dyDescent="0.2">
      <c r="H27">
        <v>10</v>
      </c>
      <c r="I27" s="15">
        <v>322000</v>
      </c>
      <c r="J27" s="15">
        <v>8100</v>
      </c>
    </row>
    <row r="28" spans="1:14" x14ac:dyDescent="0.2">
      <c r="H28">
        <v>11</v>
      </c>
      <c r="J28" s="15"/>
    </row>
    <row r="29" spans="1:14" x14ac:dyDescent="0.2">
      <c r="H29">
        <v>12</v>
      </c>
      <c r="J29" s="15"/>
    </row>
    <row r="30" spans="1:14" x14ac:dyDescent="0.2">
      <c r="H30">
        <v>13</v>
      </c>
      <c r="J30" s="15"/>
    </row>
    <row r="31" spans="1:14" x14ac:dyDescent="0.2">
      <c r="H31">
        <v>14</v>
      </c>
      <c r="J31" s="15"/>
    </row>
    <row r="32" spans="1:14" x14ac:dyDescent="0.2">
      <c r="H32">
        <v>15</v>
      </c>
      <c r="J32" s="15"/>
    </row>
    <row r="33" spans="8:10" x14ac:dyDescent="0.2">
      <c r="H33">
        <v>16</v>
      </c>
      <c r="J33" s="15"/>
    </row>
    <row r="34" spans="8:10" x14ac:dyDescent="0.2">
      <c r="H34">
        <v>17</v>
      </c>
      <c r="J34" s="15"/>
    </row>
    <row r="35" spans="8:10" x14ac:dyDescent="0.2">
      <c r="H35">
        <v>18</v>
      </c>
      <c r="J35" s="15"/>
    </row>
    <row r="36" spans="8:10" x14ac:dyDescent="0.2">
      <c r="H36">
        <v>19</v>
      </c>
      <c r="J36" s="15"/>
    </row>
    <row r="37" spans="8:10" x14ac:dyDescent="0.2">
      <c r="H37">
        <v>20</v>
      </c>
      <c r="J37" s="15"/>
    </row>
    <row r="38" spans="8:10" x14ac:dyDescent="0.2">
      <c r="J38" s="15"/>
    </row>
    <row r="39" spans="8:10" x14ac:dyDescent="0.2">
      <c r="J39" s="15"/>
    </row>
    <row r="40" spans="8:10" x14ac:dyDescent="0.2">
      <c r="J40" s="15"/>
    </row>
    <row r="41" spans="8:10" x14ac:dyDescent="0.2">
      <c r="J41" s="15"/>
    </row>
    <row r="42" spans="8:10" x14ac:dyDescent="0.2">
      <c r="J42" s="15"/>
    </row>
    <row r="43" spans="8:10" x14ac:dyDescent="0.2">
      <c r="J43" s="15"/>
    </row>
    <row r="44" spans="8:10" x14ac:dyDescent="0.2">
      <c r="J44" s="15"/>
    </row>
    <row r="45" spans="8:10" x14ac:dyDescent="0.2">
      <c r="J45" s="15"/>
    </row>
    <row r="46" spans="8:10" x14ac:dyDescent="0.2">
      <c r="J46" s="15"/>
    </row>
    <row r="47" spans="8:10" x14ac:dyDescent="0.2">
      <c r="J47" s="15"/>
    </row>
    <row r="48" spans="8:10" x14ac:dyDescent="0.2">
      <c r="J48" s="15"/>
    </row>
    <row r="49" spans="10:10" x14ac:dyDescent="0.2">
      <c r="J49" s="15"/>
    </row>
    <row r="50" spans="10:10" x14ac:dyDescent="0.2">
      <c r="J50" s="15"/>
    </row>
    <row r="51" spans="10:10" x14ac:dyDescent="0.2">
      <c r="J51" s="15"/>
    </row>
    <row r="52" spans="10:10" x14ac:dyDescent="0.2">
      <c r="J52" s="15"/>
    </row>
    <row r="53" spans="10:10" x14ac:dyDescent="0.2">
      <c r="J53" s="15"/>
    </row>
    <row r="54" spans="10:10" x14ac:dyDescent="0.2">
      <c r="J54" s="15"/>
    </row>
    <row r="55" spans="10:10" x14ac:dyDescent="0.2">
      <c r="J55" s="15"/>
    </row>
    <row r="56" spans="10:10" x14ac:dyDescent="0.2">
      <c r="J56" s="15"/>
    </row>
    <row r="57" spans="10:10" x14ac:dyDescent="0.2">
      <c r="J57" s="15"/>
    </row>
    <row r="58" spans="10:10" x14ac:dyDescent="0.2">
      <c r="J58" s="15"/>
    </row>
    <row r="59" spans="10:10" x14ac:dyDescent="0.2">
      <c r="J59" s="15"/>
    </row>
    <row r="60" spans="10:10" x14ac:dyDescent="0.2">
      <c r="J60" s="15"/>
    </row>
    <row r="61" spans="10:10" x14ac:dyDescent="0.2">
      <c r="J61" s="15"/>
    </row>
    <row r="62" spans="10:10" x14ac:dyDescent="0.2">
      <c r="J62" s="15"/>
    </row>
    <row r="63" spans="10:10" x14ac:dyDescent="0.2">
      <c r="J63" s="15"/>
    </row>
    <row r="64" spans="10:10" x14ac:dyDescent="0.2">
      <c r="J64" s="15"/>
    </row>
    <row r="65" spans="10:10" x14ac:dyDescent="0.2">
      <c r="J65" s="15"/>
    </row>
    <row r="66" spans="10:10" x14ac:dyDescent="0.2">
      <c r="J66" s="15"/>
    </row>
    <row r="67" spans="10:10" x14ac:dyDescent="0.2">
      <c r="J67" s="15"/>
    </row>
    <row r="68" spans="10:10" x14ac:dyDescent="0.2">
      <c r="J68" s="15"/>
    </row>
    <row r="69" spans="10:10" x14ac:dyDescent="0.2">
      <c r="J69" s="15"/>
    </row>
    <row r="70" spans="10:10" x14ac:dyDescent="0.2">
      <c r="J70" s="15"/>
    </row>
    <row r="71" spans="10:10" x14ac:dyDescent="0.2">
      <c r="J71" s="15"/>
    </row>
    <row r="72" spans="10:10" x14ac:dyDescent="0.2">
      <c r="J72" s="15"/>
    </row>
    <row r="73" spans="10:10" x14ac:dyDescent="0.2">
      <c r="J73" s="15"/>
    </row>
    <row r="74" spans="10:10" x14ac:dyDescent="0.2">
      <c r="J74" s="15"/>
    </row>
    <row r="75" spans="10:10" x14ac:dyDescent="0.2">
      <c r="J75" s="15"/>
    </row>
    <row r="76" spans="10:10" x14ac:dyDescent="0.2">
      <c r="J76" s="15"/>
    </row>
    <row r="77" spans="10:10" x14ac:dyDescent="0.2">
      <c r="J77" s="15"/>
    </row>
    <row r="78" spans="10:10" x14ac:dyDescent="0.2">
      <c r="J78" s="15"/>
    </row>
    <row r="79" spans="10:10" x14ac:dyDescent="0.2">
      <c r="J79" s="15"/>
    </row>
    <row r="80" spans="10:10" x14ac:dyDescent="0.2">
      <c r="J80" s="15"/>
    </row>
    <row r="81" spans="10:10" x14ac:dyDescent="0.2">
      <c r="J81" s="15"/>
    </row>
    <row r="82" spans="10:10" x14ac:dyDescent="0.2">
      <c r="J82" s="15"/>
    </row>
    <row r="83" spans="10:10" x14ac:dyDescent="0.2">
      <c r="J83" s="15"/>
    </row>
    <row r="84" spans="10:10" x14ac:dyDescent="0.2">
      <c r="J84" s="15"/>
    </row>
    <row r="85" spans="10:10" x14ac:dyDescent="0.2">
      <c r="J85" s="15"/>
    </row>
    <row r="86" spans="10:10" x14ac:dyDescent="0.2">
      <c r="J86" s="15"/>
    </row>
    <row r="87" spans="10:10" x14ac:dyDescent="0.2">
      <c r="J87" s="15"/>
    </row>
    <row r="88" spans="10:10" x14ac:dyDescent="0.2">
      <c r="J88" s="15"/>
    </row>
    <row r="89" spans="10:10" x14ac:dyDescent="0.2">
      <c r="J89" s="15"/>
    </row>
    <row r="90" spans="10:10" x14ac:dyDescent="0.2">
      <c r="J90" s="15"/>
    </row>
    <row r="91" spans="10:10" x14ac:dyDescent="0.2">
      <c r="J91" s="15"/>
    </row>
    <row r="92" spans="10:10" x14ac:dyDescent="0.2">
      <c r="J92" s="15"/>
    </row>
    <row r="93" spans="10:10" x14ac:dyDescent="0.2">
      <c r="J93" s="15"/>
    </row>
    <row r="94" spans="10:10" x14ac:dyDescent="0.2">
      <c r="J94" s="15"/>
    </row>
    <row r="95" spans="10:10" x14ac:dyDescent="0.2">
      <c r="J95" s="15"/>
    </row>
    <row r="96" spans="10:10" x14ac:dyDescent="0.2">
      <c r="J96" s="15"/>
    </row>
    <row r="97" spans="10:10" x14ac:dyDescent="0.2">
      <c r="J97" s="15"/>
    </row>
    <row r="98" spans="10:10" x14ac:dyDescent="0.2">
      <c r="J98" s="15"/>
    </row>
    <row r="99" spans="10:10" x14ac:dyDescent="0.2">
      <c r="J99" s="15"/>
    </row>
    <row r="100" spans="10:10" x14ac:dyDescent="0.2">
      <c r="J100" s="15"/>
    </row>
    <row r="101" spans="10:10" x14ac:dyDescent="0.2">
      <c r="J101" s="15"/>
    </row>
    <row r="102" spans="10:10" x14ac:dyDescent="0.2">
      <c r="J102" s="15"/>
    </row>
    <row r="103" spans="10:10" x14ac:dyDescent="0.2">
      <c r="J103" s="15"/>
    </row>
    <row r="104" spans="10:10" x14ac:dyDescent="0.2">
      <c r="J104" s="15"/>
    </row>
    <row r="105" spans="10:10" x14ac:dyDescent="0.2">
      <c r="J105" s="15"/>
    </row>
    <row r="106" spans="10:10" x14ac:dyDescent="0.2">
      <c r="J106" s="15"/>
    </row>
    <row r="107" spans="10:10" x14ac:dyDescent="0.2">
      <c r="J107" s="15"/>
    </row>
    <row r="108" spans="10:10" x14ac:dyDescent="0.2">
      <c r="J108" s="15"/>
    </row>
    <row r="109" spans="10:10" x14ac:dyDescent="0.2">
      <c r="J109" s="15"/>
    </row>
    <row r="110" spans="10:10" x14ac:dyDescent="0.2">
      <c r="J110" s="15"/>
    </row>
    <row r="111" spans="10:10" x14ac:dyDescent="0.2">
      <c r="J111" s="15"/>
    </row>
    <row r="112" spans="10:10" x14ac:dyDescent="0.2">
      <c r="J112" s="15"/>
    </row>
    <row r="113" spans="10:10" x14ac:dyDescent="0.2">
      <c r="J113" s="15"/>
    </row>
    <row r="114" spans="10:10" x14ac:dyDescent="0.2">
      <c r="J114" s="15"/>
    </row>
    <row r="115" spans="10:10" x14ac:dyDescent="0.2">
      <c r="J115" s="15"/>
    </row>
    <row r="116" spans="10:10" x14ac:dyDescent="0.2">
      <c r="J116" s="15"/>
    </row>
    <row r="117" spans="10:10" x14ac:dyDescent="0.2">
      <c r="J117" s="15"/>
    </row>
    <row r="118" spans="10:10" x14ac:dyDescent="0.2">
      <c r="J118" s="15"/>
    </row>
    <row r="119" spans="10:10" x14ac:dyDescent="0.2">
      <c r="J119" s="15"/>
    </row>
    <row r="120" spans="10:10" x14ac:dyDescent="0.2">
      <c r="J120" s="15"/>
    </row>
    <row r="121" spans="10:10" x14ac:dyDescent="0.2">
      <c r="J121" s="15"/>
    </row>
    <row r="122" spans="10:10" x14ac:dyDescent="0.2">
      <c r="J122" s="15"/>
    </row>
    <row r="123" spans="10:10" x14ac:dyDescent="0.2">
      <c r="J123" s="15"/>
    </row>
    <row r="124" spans="10:10" x14ac:dyDescent="0.2">
      <c r="J124" s="15"/>
    </row>
    <row r="125" spans="10:10" x14ac:dyDescent="0.2">
      <c r="J125" s="15"/>
    </row>
    <row r="126" spans="10:10" x14ac:dyDescent="0.2">
      <c r="J126" s="15"/>
    </row>
    <row r="127" spans="10:10" x14ac:dyDescent="0.2">
      <c r="J127" s="15"/>
    </row>
    <row r="128" spans="10:10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</sheetData>
  <mergeCells count="33">
    <mergeCell ref="A17:E17"/>
    <mergeCell ref="F17:G17"/>
    <mergeCell ref="B11:C11"/>
    <mergeCell ref="D11:E11"/>
    <mergeCell ref="F11:G11"/>
    <mergeCell ref="B12:C12"/>
    <mergeCell ref="D12:E12"/>
    <mergeCell ref="F12:G12"/>
    <mergeCell ref="A14:E14"/>
    <mergeCell ref="F14:G14"/>
    <mergeCell ref="B16:C16"/>
    <mergeCell ref="D16:E16"/>
    <mergeCell ref="F16:G16"/>
    <mergeCell ref="B9:C9"/>
    <mergeCell ref="D9:E9"/>
    <mergeCell ref="F9:G9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A1:H1"/>
    <mergeCell ref="A2:H2"/>
    <mergeCell ref="B4:C4"/>
    <mergeCell ref="D4:E4"/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88"/>
  <sheetViews>
    <sheetView workbookViewId="0">
      <selection activeCell="A3" sqref="A3"/>
    </sheetView>
  </sheetViews>
  <sheetFormatPr defaultRowHeight="14.25" x14ac:dyDescent="0.2"/>
  <cols>
    <col min="3" max="3" width="16.375" customWidth="1"/>
    <col min="5" max="5" width="12" customWidth="1"/>
    <col min="7" max="7" width="12.125" customWidth="1"/>
    <col min="8" max="8" width="8.5" customWidth="1"/>
    <col min="9" max="9" width="15.125" style="15" customWidth="1"/>
    <col min="10" max="10" width="16" customWidth="1"/>
    <col min="11" max="11" width="11.625" bestFit="1" customWidth="1"/>
    <col min="12" max="12" width="12.375" customWidth="1"/>
    <col min="13" max="13" width="14.5" customWidth="1"/>
    <col min="14" max="14" width="22" customWidth="1"/>
    <col min="15" max="15" width="10.25" customWidth="1"/>
  </cols>
  <sheetData>
    <row r="1" spans="1:15" ht="34.5" x14ac:dyDescent="0.7">
      <c r="A1" s="145" t="s">
        <v>52</v>
      </c>
      <c r="B1" s="145"/>
      <c r="C1" s="145"/>
      <c r="D1" s="145"/>
      <c r="E1" s="145"/>
      <c r="F1" s="145"/>
      <c r="G1" s="145"/>
      <c r="H1" s="145"/>
    </row>
    <row r="2" spans="1:15" ht="31.5" x14ac:dyDescent="0.65">
      <c r="A2" s="146" t="s">
        <v>93</v>
      </c>
      <c r="B2" s="146"/>
      <c r="C2" s="146"/>
      <c r="D2" s="146"/>
      <c r="E2" s="146"/>
      <c r="F2" s="146"/>
      <c r="G2" s="146"/>
      <c r="H2" s="146"/>
    </row>
    <row r="3" spans="1:15" ht="31.5" x14ac:dyDescent="0.65">
      <c r="A3" s="70"/>
      <c r="B3" s="70"/>
      <c r="C3" s="70"/>
      <c r="D3" s="70"/>
      <c r="E3" s="70"/>
      <c r="F3" s="70"/>
      <c r="G3" s="70"/>
      <c r="I3" s="15">
        <f>C6*7/107</f>
        <v>0</v>
      </c>
      <c r="J3" s="34">
        <f>C6-I3</f>
        <v>0</v>
      </c>
      <c r="L3">
        <f>SUM(L4:L11)</f>
        <v>0</v>
      </c>
      <c r="N3" s="16"/>
      <c r="O3" s="16"/>
    </row>
    <row r="4" spans="1:15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71"/>
      <c r="N4" s="16"/>
      <c r="O4" s="16"/>
    </row>
    <row r="5" spans="1:15" ht="28.5" x14ac:dyDescent="0.7">
      <c r="A5" s="9"/>
      <c r="B5" s="137" t="s">
        <v>0</v>
      </c>
      <c r="C5" s="137"/>
      <c r="D5" s="143">
        <v>0</v>
      </c>
      <c r="E5" s="143"/>
      <c r="F5" s="143">
        <v>0</v>
      </c>
      <c r="G5" s="143"/>
      <c r="H5" s="2"/>
      <c r="I5" s="15">
        <f>D5*0.07</f>
        <v>0</v>
      </c>
      <c r="J5" s="21">
        <f>D5+F5</f>
        <v>0</v>
      </c>
      <c r="K5" s="3"/>
      <c r="N5" s="16"/>
    </row>
    <row r="6" spans="1:15" ht="26.25" x14ac:dyDescent="0.55000000000000004">
      <c r="A6" s="69"/>
      <c r="B6" s="69"/>
      <c r="C6" s="69"/>
      <c r="D6" s="68"/>
      <c r="E6" s="68"/>
      <c r="F6" s="68"/>
      <c r="G6" s="68"/>
      <c r="H6" s="2"/>
      <c r="J6" s="3"/>
    </row>
    <row r="7" spans="1:15" ht="26.25" x14ac:dyDescent="0.55000000000000004">
      <c r="B7" s="137" t="s">
        <v>8</v>
      </c>
      <c r="C7" s="137"/>
      <c r="D7" s="139"/>
      <c r="E7" s="139"/>
      <c r="F7" s="139"/>
      <c r="G7" s="139"/>
      <c r="H7" s="2"/>
      <c r="I7" s="15">
        <f t="shared" ref="I7:I12" si="0">D7*0.07</f>
        <v>0</v>
      </c>
      <c r="J7" s="21">
        <f t="shared" ref="J7:J11" si="1">D7+F7</f>
        <v>0</v>
      </c>
    </row>
    <row r="8" spans="1:15" ht="23.25" customHeight="1" x14ac:dyDescent="0.55000000000000004">
      <c r="A8" s="9"/>
      <c r="B8" s="137" t="s">
        <v>43</v>
      </c>
      <c r="C8" s="137"/>
      <c r="D8" s="139"/>
      <c r="E8" s="139"/>
      <c r="F8" s="139"/>
      <c r="G8" s="139"/>
      <c r="H8" s="2"/>
      <c r="I8" s="15">
        <f t="shared" si="0"/>
        <v>0</v>
      </c>
      <c r="J8" s="21">
        <f t="shared" si="1"/>
        <v>0</v>
      </c>
      <c r="K8" s="3"/>
    </row>
    <row r="9" spans="1:15" ht="26.25" x14ac:dyDescent="0.55000000000000004">
      <c r="A9" s="9"/>
      <c r="B9" s="137" t="s">
        <v>1</v>
      </c>
      <c r="C9" s="137"/>
      <c r="D9" s="155"/>
      <c r="E9" s="155"/>
      <c r="F9" s="155"/>
      <c r="G9" s="155"/>
      <c r="H9" s="4"/>
      <c r="I9" s="15">
        <f t="shared" si="0"/>
        <v>0</v>
      </c>
      <c r="J9" s="21">
        <f t="shared" si="1"/>
        <v>0</v>
      </c>
    </row>
    <row r="10" spans="1:15" ht="26.25" x14ac:dyDescent="0.55000000000000004">
      <c r="A10" s="9"/>
      <c r="B10" s="137" t="s">
        <v>44</v>
      </c>
      <c r="C10" s="137"/>
      <c r="D10" s="155"/>
      <c r="E10" s="155"/>
      <c r="F10" s="155"/>
      <c r="G10" s="155"/>
      <c r="H10" s="4"/>
      <c r="I10" s="15">
        <f t="shared" si="0"/>
        <v>0</v>
      </c>
      <c r="J10" s="21">
        <f t="shared" si="1"/>
        <v>0</v>
      </c>
    </row>
    <row r="11" spans="1:15" ht="28.5" x14ac:dyDescent="0.7">
      <c r="A11" s="9"/>
      <c r="B11" s="137" t="s">
        <v>45</v>
      </c>
      <c r="C11" s="137"/>
      <c r="D11" s="138"/>
      <c r="E11" s="138"/>
      <c r="F11" s="138"/>
      <c r="G11" s="138"/>
      <c r="H11" s="4"/>
      <c r="I11" s="15">
        <f t="shared" si="0"/>
        <v>0</v>
      </c>
      <c r="J11" s="21">
        <f t="shared" si="1"/>
        <v>0</v>
      </c>
    </row>
    <row r="12" spans="1:15" ht="28.5" x14ac:dyDescent="0.7">
      <c r="A12" s="9"/>
      <c r="B12" s="137" t="s">
        <v>2</v>
      </c>
      <c r="C12" s="137"/>
      <c r="D12" s="140">
        <f>SUM(D7:E11)</f>
        <v>0</v>
      </c>
      <c r="E12" s="141"/>
      <c r="F12" s="140">
        <f>SUM(F7:G11)</f>
        <v>0</v>
      </c>
      <c r="G12" s="140"/>
      <c r="H12" s="71"/>
      <c r="I12" s="15">
        <f t="shared" si="0"/>
        <v>0</v>
      </c>
      <c r="J12" s="21"/>
    </row>
    <row r="13" spans="1:15" ht="26.25" x14ac:dyDescent="0.55000000000000004">
      <c r="A13" s="5"/>
      <c r="B13" s="5"/>
      <c r="C13" s="5"/>
      <c r="D13" s="7"/>
      <c r="E13" s="5"/>
      <c r="F13" s="7"/>
      <c r="G13" s="5"/>
      <c r="H13" s="71"/>
      <c r="J13" s="3"/>
    </row>
    <row r="14" spans="1:15" ht="28.5" x14ac:dyDescent="0.7">
      <c r="A14" s="142" t="s">
        <v>3</v>
      </c>
      <c r="B14" s="142"/>
      <c r="C14" s="142"/>
      <c r="D14" s="142"/>
      <c r="E14" s="142"/>
      <c r="F14" s="140">
        <f>F5-F12</f>
        <v>0</v>
      </c>
      <c r="G14" s="141"/>
      <c r="H14" s="71"/>
    </row>
    <row r="16" spans="1:15" ht="28.5" x14ac:dyDescent="0.7">
      <c r="A16" s="9"/>
      <c r="B16" s="137"/>
      <c r="C16" s="137"/>
      <c r="D16" s="140"/>
      <c r="E16" s="141"/>
      <c r="F16" s="140"/>
      <c r="G16" s="141"/>
      <c r="H16" s="71"/>
      <c r="I16" s="15" t="s">
        <v>8</v>
      </c>
      <c r="J16" t="s">
        <v>43</v>
      </c>
      <c r="L16" t="s">
        <v>1</v>
      </c>
      <c r="M16" t="s">
        <v>44</v>
      </c>
      <c r="N16" t="s">
        <v>24</v>
      </c>
    </row>
    <row r="17" spans="1:14" ht="28.5" x14ac:dyDescent="0.7">
      <c r="A17" s="142"/>
      <c r="B17" s="142"/>
      <c r="C17" s="142"/>
      <c r="D17" s="142"/>
      <c r="E17" s="142"/>
      <c r="F17" s="140"/>
      <c r="G17" s="141"/>
      <c r="H17" s="71"/>
      <c r="I17" s="15">
        <f>SUM(I18:I37)</f>
        <v>2856000</v>
      </c>
      <c r="J17" s="15">
        <f>SUM(J18:J37)</f>
        <v>80800</v>
      </c>
      <c r="K17" s="15"/>
      <c r="L17" s="15">
        <f t="shared" ref="L17:N17" si="2">SUM(L18:L37)</f>
        <v>9158.8900000000012</v>
      </c>
      <c r="M17" s="15">
        <f t="shared" si="2"/>
        <v>1050</v>
      </c>
      <c r="N17" s="15">
        <f t="shared" si="2"/>
        <v>2731.03</v>
      </c>
    </row>
    <row r="18" spans="1:14" x14ac:dyDescent="0.2">
      <c r="H18">
        <v>1</v>
      </c>
      <c r="I18" s="15">
        <v>234000</v>
      </c>
      <c r="J18" s="15">
        <v>8100</v>
      </c>
      <c r="L18">
        <v>934.58</v>
      </c>
      <c r="M18">
        <v>1050</v>
      </c>
      <c r="N18">
        <v>1928.41</v>
      </c>
    </row>
    <row r="19" spans="1:14" x14ac:dyDescent="0.2">
      <c r="H19">
        <v>2</v>
      </c>
      <c r="I19" s="15">
        <v>338000</v>
      </c>
      <c r="J19" s="15">
        <v>8100</v>
      </c>
      <c r="L19">
        <v>934.58</v>
      </c>
      <c r="N19">
        <v>802.62</v>
      </c>
    </row>
    <row r="20" spans="1:14" x14ac:dyDescent="0.2">
      <c r="H20">
        <v>3</v>
      </c>
      <c r="I20" s="15">
        <v>280000</v>
      </c>
      <c r="J20" s="15">
        <v>8000</v>
      </c>
      <c r="L20">
        <v>934.58</v>
      </c>
    </row>
    <row r="21" spans="1:14" x14ac:dyDescent="0.2">
      <c r="H21">
        <v>4</v>
      </c>
      <c r="I21" s="15">
        <v>154000</v>
      </c>
      <c r="J21" s="15">
        <v>8000</v>
      </c>
      <c r="L21">
        <v>934.58</v>
      </c>
    </row>
    <row r="22" spans="1:14" x14ac:dyDescent="0.2">
      <c r="H22">
        <v>5</v>
      </c>
      <c r="I22" s="15">
        <v>342000</v>
      </c>
      <c r="J22" s="15">
        <v>8100</v>
      </c>
      <c r="L22">
        <v>1317.76</v>
      </c>
    </row>
    <row r="23" spans="1:14" x14ac:dyDescent="0.2">
      <c r="H23">
        <v>6</v>
      </c>
      <c r="I23" s="15">
        <v>252000</v>
      </c>
      <c r="J23" s="15">
        <v>8100</v>
      </c>
      <c r="L23">
        <v>1130.8499999999999</v>
      </c>
    </row>
    <row r="24" spans="1:14" x14ac:dyDescent="0.2">
      <c r="H24">
        <v>7</v>
      </c>
      <c r="I24" s="15">
        <v>274000</v>
      </c>
      <c r="J24" s="15">
        <v>8100</v>
      </c>
      <c r="L24">
        <v>467.29</v>
      </c>
    </row>
    <row r="25" spans="1:14" x14ac:dyDescent="0.2">
      <c r="H25">
        <v>8</v>
      </c>
      <c r="I25" s="15">
        <v>362000</v>
      </c>
      <c r="J25" s="15">
        <v>8100</v>
      </c>
      <c r="L25">
        <v>1355.14</v>
      </c>
    </row>
    <row r="26" spans="1:14" x14ac:dyDescent="0.2">
      <c r="H26">
        <v>9</v>
      </c>
      <c r="I26" s="15">
        <v>298000</v>
      </c>
      <c r="J26" s="15">
        <v>8100</v>
      </c>
      <c r="L26">
        <v>1149.53</v>
      </c>
    </row>
    <row r="27" spans="1:14" x14ac:dyDescent="0.2">
      <c r="H27">
        <v>10</v>
      </c>
      <c r="I27" s="15">
        <v>322000</v>
      </c>
      <c r="J27" s="15">
        <v>8100</v>
      </c>
    </row>
    <row r="28" spans="1:14" x14ac:dyDescent="0.2">
      <c r="H28">
        <v>11</v>
      </c>
      <c r="J28" s="15"/>
    </row>
    <row r="29" spans="1:14" x14ac:dyDescent="0.2">
      <c r="H29">
        <v>12</v>
      </c>
      <c r="J29" s="15"/>
    </row>
    <row r="30" spans="1:14" x14ac:dyDescent="0.2">
      <c r="H30">
        <v>13</v>
      </c>
      <c r="J30" s="15"/>
    </row>
    <row r="31" spans="1:14" x14ac:dyDescent="0.2">
      <c r="H31">
        <v>14</v>
      </c>
      <c r="J31" s="15"/>
    </row>
    <row r="32" spans="1:14" x14ac:dyDescent="0.2">
      <c r="H32">
        <v>15</v>
      </c>
      <c r="J32" s="15"/>
    </row>
    <row r="33" spans="8:10" x14ac:dyDescent="0.2">
      <c r="H33">
        <v>16</v>
      </c>
      <c r="J33" s="15"/>
    </row>
    <row r="34" spans="8:10" x14ac:dyDescent="0.2">
      <c r="H34">
        <v>17</v>
      </c>
      <c r="J34" s="15"/>
    </row>
    <row r="35" spans="8:10" x14ac:dyDescent="0.2">
      <c r="H35">
        <v>18</v>
      </c>
      <c r="J35" s="15"/>
    </row>
    <row r="36" spans="8:10" x14ac:dyDescent="0.2">
      <c r="H36">
        <v>19</v>
      </c>
      <c r="J36" s="15"/>
    </row>
    <row r="37" spans="8:10" x14ac:dyDescent="0.2">
      <c r="H37">
        <v>20</v>
      </c>
      <c r="J37" s="15"/>
    </row>
    <row r="38" spans="8:10" x14ac:dyDescent="0.2">
      <c r="J38" s="15"/>
    </row>
    <row r="39" spans="8:10" x14ac:dyDescent="0.2">
      <c r="J39" s="15"/>
    </row>
    <row r="40" spans="8:10" x14ac:dyDescent="0.2">
      <c r="J40" s="15"/>
    </row>
    <row r="41" spans="8:10" x14ac:dyDescent="0.2">
      <c r="J41" s="15"/>
    </row>
    <row r="42" spans="8:10" x14ac:dyDescent="0.2">
      <c r="J42" s="15"/>
    </row>
    <row r="43" spans="8:10" x14ac:dyDescent="0.2">
      <c r="J43" s="15"/>
    </row>
    <row r="44" spans="8:10" x14ac:dyDescent="0.2">
      <c r="J44" s="15"/>
    </row>
    <row r="45" spans="8:10" x14ac:dyDescent="0.2">
      <c r="J45" s="15"/>
    </row>
    <row r="46" spans="8:10" x14ac:dyDescent="0.2">
      <c r="J46" s="15"/>
    </row>
    <row r="47" spans="8:10" x14ac:dyDescent="0.2">
      <c r="J47" s="15"/>
    </row>
    <row r="48" spans="8:10" x14ac:dyDescent="0.2">
      <c r="J48" s="15"/>
    </row>
    <row r="49" spans="10:10" x14ac:dyDescent="0.2">
      <c r="J49" s="15"/>
    </row>
    <row r="50" spans="10:10" x14ac:dyDescent="0.2">
      <c r="J50" s="15"/>
    </row>
    <row r="51" spans="10:10" x14ac:dyDescent="0.2">
      <c r="J51" s="15"/>
    </row>
    <row r="52" spans="10:10" x14ac:dyDescent="0.2">
      <c r="J52" s="15"/>
    </row>
    <row r="53" spans="10:10" x14ac:dyDescent="0.2">
      <c r="J53" s="15"/>
    </row>
    <row r="54" spans="10:10" x14ac:dyDescent="0.2">
      <c r="J54" s="15"/>
    </row>
    <row r="55" spans="10:10" x14ac:dyDescent="0.2">
      <c r="J55" s="15"/>
    </row>
    <row r="56" spans="10:10" x14ac:dyDescent="0.2">
      <c r="J56" s="15"/>
    </row>
    <row r="57" spans="10:10" x14ac:dyDescent="0.2">
      <c r="J57" s="15"/>
    </row>
    <row r="58" spans="10:10" x14ac:dyDescent="0.2">
      <c r="J58" s="15"/>
    </row>
    <row r="59" spans="10:10" x14ac:dyDescent="0.2">
      <c r="J59" s="15"/>
    </row>
    <row r="60" spans="10:10" x14ac:dyDescent="0.2">
      <c r="J60" s="15"/>
    </row>
    <row r="61" spans="10:10" x14ac:dyDescent="0.2">
      <c r="J61" s="15"/>
    </row>
    <row r="62" spans="10:10" x14ac:dyDescent="0.2">
      <c r="J62" s="15"/>
    </row>
    <row r="63" spans="10:10" x14ac:dyDescent="0.2">
      <c r="J63" s="15"/>
    </row>
    <row r="64" spans="10:10" x14ac:dyDescent="0.2">
      <c r="J64" s="15"/>
    </row>
    <row r="65" spans="10:10" x14ac:dyDescent="0.2">
      <c r="J65" s="15"/>
    </row>
    <row r="66" spans="10:10" x14ac:dyDescent="0.2">
      <c r="J66" s="15"/>
    </row>
    <row r="67" spans="10:10" x14ac:dyDescent="0.2">
      <c r="J67" s="15"/>
    </row>
    <row r="68" spans="10:10" x14ac:dyDescent="0.2">
      <c r="J68" s="15"/>
    </row>
    <row r="69" spans="10:10" x14ac:dyDescent="0.2">
      <c r="J69" s="15"/>
    </row>
    <row r="70" spans="10:10" x14ac:dyDescent="0.2">
      <c r="J70" s="15"/>
    </row>
    <row r="71" spans="10:10" x14ac:dyDescent="0.2">
      <c r="J71" s="15"/>
    </row>
    <row r="72" spans="10:10" x14ac:dyDescent="0.2">
      <c r="J72" s="15"/>
    </row>
    <row r="73" spans="10:10" x14ac:dyDescent="0.2">
      <c r="J73" s="15"/>
    </row>
    <row r="74" spans="10:10" x14ac:dyDescent="0.2">
      <c r="J74" s="15"/>
    </row>
    <row r="75" spans="10:10" x14ac:dyDescent="0.2">
      <c r="J75" s="15"/>
    </row>
    <row r="76" spans="10:10" x14ac:dyDescent="0.2">
      <c r="J76" s="15"/>
    </row>
    <row r="77" spans="10:10" x14ac:dyDescent="0.2">
      <c r="J77" s="15"/>
    </row>
    <row r="78" spans="10:10" x14ac:dyDescent="0.2">
      <c r="J78" s="15"/>
    </row>
    <row r="79" spans="10:10" x14ac:dyDescent="0.2">
      <c r="J79" s="15"/>
    </row>
    <row r="80" spans="10:10" x14ac:dyDescent="0.2">
      <c r="J80" s="15"/>
    </row>
    <row r="81" spans="10:10" x14ac:dyDescent="0.2">
      <c r="J81" s="15"/>
    </row>
    <row r="82" spans="10:10" x14ac:dyDescent="0.2">
      <c r="J82" s="15"/>
    </row>
    <row r="83" spans="10:10" x14ac:dyDescent="0.2">
      <c r="J83" s="15"/>
    </row>
    <row r="84" spans="10:10" x14ac:dyDescent="0.2">
      <c r="J84" s="15"/>
    </row>
    <row r="85" spans="10:10" x14ac:dyDescent="0.2">
      <c r="J85" s="15"/>
    </row>
    <row r="86" spans="10:10" x14ac:dyDescent="0.2">
      <c r="J86" s="15"/>
    </row>
    <row r="87" spans="10:10" x14ac:dyDescent="0.2">
      <c r="J87" s="15"/>
    </row>
    <row r="88" spans="10:10" x14ac:dyDescent="0.2">
      <c r="J88" s="15"/>
    </row>
    <row r="89" spans="10:10" x14ac:dyDescent="0.2">
      <c r="J89" s="15"/>
    </row>
    <row r="90" spans="10:10" x14ac:dyDescent="0.2">
      <c r="J90" s="15"/>
    </row>
    <row r="91" spans="10:10" x14ac:dyDescent="0.2">
      <c r="J91" s="15"/>
    </row>
    <row r="92" spans="10:10" x14ac:dyDescent="0.2">
      <c r="J92" s="15"/>
    </row>
    <row r="93" spans="10:10" x14ac:dyDescent="0.2">
      <c r="J93" s="15"/>
    </row>
    <row r="94" spans="10:10" x14ac:dyDescent="0.2">
      <c r="J94" s="15"/>
    </row>
    <row r="95" spans="10:10" x14ac:dyDescent="0.2">
      <c r="J95" s="15"/>
    </row>
    <row r="96" spans="10:10" x14ac:dyDescent="0.2">
      <c r="J96" s="15"/>
    </row>
    <row r="97" spans="10:10" x14ac:dyDescent="0.2">
      <c r="J97" s="15"/>
    </row>
    <row r="98" spans="10:10" x14ac:dyDescent="0.2">
      <c r="J98" s="15"/>
    </row>
    <row r="99" spans="10:10" x14ac:dyDescent="0.2">
      <c r="J99" s="15"/>
    </row>
    <row r="100" spans="10:10" x14ac:dyDescent="0.2">
      <c r="J100" s="15"/>
    </row>
    <row r="101" spans="10:10" x14ac:dyDescent="0.2">
      <c r="J101" s="15"/>
    </row>
    <row r="102" spans="10:10" x14ac:dyDescent="0.2">
      <c r="J102" s="15"/>
    </row>
    <row r="103" spans="10:10" x14ac:dyDescent="0.2">
      <c r="J103" s="15"/>
    </row>
    <row r="104" spans="10:10" x14ac:dyDescent="0.2">
      <c r="J104" s="15"/>
    </row>
    <row r="105" spans="10:10" x14ac:dyDescent="0.2">
      <c r="J105" s="15"/>
    </row>
    <row r="106" spans="10:10" x14ac:dyDescent="0.2">
      <c r="J106" s="15"/>
    </row>
    <row r="107" spans="10:10" x14ac:dyDescent="0.2">
      <c r="J107" s="15"/>
    </row>
    <row r="108" spans="10:10" x14ac:dyDescent="0.2">
      <c r="J108" s="15"/>
    </row>
    <row r="109" spans="10:10" x14ac:dyDescent="0.2">
      <c r="J109" s="15"/>
    </row>
    <row r="110" spans="10:10" x14ac:dyDescent="0.2">
      <c r="J110" s="15"/>
    </row>
    <row r="111" spans="10:10" x14ac:dyDescent="0.2">
      <c r="J111" s="15"/>
    </row>
    <row r="112" spans="10:10" x14ac:dyDescent="0.2">
      <c r="J112" s="15"/>
    </row>
    <row r="113" spans="10:10" x14ac:dyDescent="0.2">
      <c r="J113" s="15"/>
    </row>
    <row r="114" spans="10:10" x14ac:dyDescent="0.2">
      <c r="J114" s="15"/>
    </row>
    <row r="115" spans="10:10" x14ac:dyDescent="0.2">
      <c r="J115" s="15"/>
    </row>
    <row r="116" spans="10:10" x14ac:dyDescent="0.2">
      <c r="J116" s="15"/>
    </row>
    <row r="117" spans="10:10" x14ac:dyDescent="0.2">
      <c r="J117" s="15"/>
    </row>
    <row r="118" spans="10:10" x14ac:dyDescent="0.2">
      <c r="J118" s="15"/>
    </row>
    <row r="119" spans="10:10" x14ac:dyDescent="0.2">
      <c r="J119" s="15"/>
    </row>
    <row r="120" spans="10:10" x14ac:dyDescent="0.2">
      <c r="J120" s="15"/>
    </row>
    <row r="121" spans="10:10" x14ac:dyDescent="0.2">
      <c r="J121" s="15"/>
    </row>
    <row r="122" spans="10:10" x14ac:dyDescent="0.2">
      <c r="J122" s="15"/>
    </row>
    <row r="123" spans="10:10" x14ac:dyDescent="0.2">
      <c r="J123" s="15"/>
    </row>
    <row r="124" spans="10:10" x14ac:dyDescent="0.2">
      <c r="J124" s="15"/>
    </row>
    <row r="125" spans="10:10" x14ac:dyDescent="0.2">
      <c r="J125" s="15"/>
    </row>
    <row r="126" spans="10:10" x14ac:dyDescent="0.2">
      <c r="J126" s="15"/>
    </row>
    <row r="127" spans="10:10" x14ac:dyDescent="0.2">
      <c r="J127" s="15"/>
    </row>
    <row r="128" spans="10:10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</sheetData>
  <mergeCells count="33">
    <mergeCell ref="B5:C5"/>
    <mergeCell ref="D5:E5"/>
    <mergeCell ref="F5:G5"/>
    <mergeCell ref="A1:H1"/>
    <mergeCell ref="A2:H2"/>
    <mergeCell ref="B4:C4"/>
    <mergeCell ref="D4:E4"/>
    <mergeCell ref="F4:G4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A17:E17"/>
    <mergeCell ref="F17:G17"/>
    <mergeCell ref="B11:C11"/>
    <mergeCell ref="D11:E11"/>
    <mergeCell ref="F11:G11"/>
    <mergeCell ref="B12:C12"/>
    <mergeCell ref="D12:E12"/>
    <mergeCell ref="F12:G12"/>
    <mergeCell ref="A14:E14"/>
    <mergeCell ref="F14:G14"/>
    <mergeCell ref="B16:C16"/>
    <mergeCell ref="D16:E16"/>
    <mergeCell ref="F16:G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topLeftCell="A10" workbookViewId="0">
      <selection activeCell="D23" sqref="D23:E23"/>
    </sheetView>
  </sheetViews>
  <sheetFormatPr defaultRowHeight="14.25" x14ac:dyDescent="0.2"/>
  <cols>
    <col min="3" max="3" width="15.875" customWidth="1"/>
    <col min="5" max="5" width="12" customWidth="1"/>
    <col min="7" max="7" width="12.125" customWidth="1"/>
    <col min="8" max="8" width="9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5" max="15" width="10.25" customWidth="1"/>
  </cols>
  <sheetData>
    <row r="1" spans="1:15" ht="34.5" x14ac:dyDescent="0.7">
      <c r="A1" s="145" t="s">
        <v>28</v>
      </c>
      <c r="B1" s="145"/>
      <c r="C1" s="145"/>
      <c r="D1" s="145"/>
      <c r="E1" s="145"/>
      <c r="F1" s="145"/>
      <c r="G1" s="145"/>
      <c r="H1" s="145"/>
    </row>
    <row r="2" spans="1:15" ht="31.5" x14ac:dyDescent="0.65">
      <c r="A2" s="146" t="s">
        <v>104</v>
      </c>
      <c r="B2" s="146"/>
      <c r="C2" s="146"/>
      <c r="D2" s="146"/>
      <c r="E2" s="146"/>
      <c r="F2" s="146"/>
      <c r="G2" s="146"/>
      <c r="H2" s="146"/>
    </row>
    <row r="3" spans="1:15" ht="31.5" x14ac:dyDescent="0.65">
      <c r="A3" s="146" t="s">
        <v>79</v>
      </c>
      <c r="B3" s="146"/>
      <c r="C3" s="146"/>
      <c r="D3" s="146"/>
      <c r="E3" s="146"/>
      <c r="F3" s="146"/>
      <c r="G3" s="146"/>
      <c r="H3" s="146"/>
      <c r="N3" s="16"/>
      <c r="O3" s="16"/>
    </row>
    <row r="4" spans="1:15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1"/>
      <c r="N4" s="16"/>
      <c r="O4" s="16"/>
    </row>
    <row r="5" spans="1:15" ht="26.25" x14ac:dyDescent="0.55000000000000004">
      <c r="A5" s="9"/>
      <c r="B5" s="137" t="s">
        <v>0</v>
      </c>
      <c r="C5" s="137"/>
      <c r="D5" s="139">
        <v>415770.35</v>
      </c>
      <c r="E5" s="139"/>
      <c r="F5" s="139">
        <v>0</v>
      </c>
      <c r="G5" s="139"/>
      <c r="H5" s="2"/>
      <c r="J5" s="21"/>
      <c r="K5" s="3"/>
      <c r="N5" s="16"/>
    </row>
    <row r="6" spans="1:15" ht="28.5" x14ac:dyDescent="0.7">
      <c r="A6" s="36"/>
      <c r="B6" s="156" t="s">
        <v>31</v>
      </c>
      <c r="C6" s="156"/>
      <c r="D6" s="138">
        <v>398791.38</v>
      </c>
      <c r="E6" s="138"/>
      <c r="F6" s="138">
        <v>0</v>
      </c>
      <c r="G6" s="138"/>
      <c r="H6" s="2"/>
      <c r="J6" s="3"/>
    </row>
    <row r="7" spans="1:15" ht="28.5" x14ac:dyDescent="0.7">
      <c r="A7" s="36"/>
      <c r="B7" s="137" t="s">
        <v>29</v>
      </c>
      <c r="C7" s="137"/>
      <c r="D7" s="143">
        <f>D5-D6</f>
        <v>16978.969999999972</v>
      </c>
      <c r="E7" s="143"/>
      <c r="F7" s="143">
        <f>D7*0.07</f>
        <v>1188.5278999999982</v>
      </c>
      <c r="G7" s="143"/>
      <c r="H7" s="2"/>
      <c r="J7" s="3"/>
    </row>
    <row r="8" spans="1:15" ht="15" customHeight="1" x14ac:dyDescent="0.55000000000000004">
      <c r="B8" s="157"/>
      <c r="C8" s="157"/>
      <c r="D8" s="139"/>
      <c r="E8" s="139"/>
      <c r="F8" s="139"/>
      <c r="G8" s="139"/>
      <c r="H8" s="2"/>
      <c r="J8" s="3"/>
      <c r="K8" s="3"/>
    </row>
    <row r="9" spans="1:15" ht="26.25" x14ac:dyDescent="0.55000000000000004">
      <c r="A9" s="9"/>
      <c r="B9" s="137" t="s">
        <v>8</v>
      </c>
      <c r="C9" s="137"/>
      <c r="D9" s="139"/>
      <c r="E9" s="139"/>
      <c r="F9" s="139">
        <v>0</v>
      </c>
      <c r="G9" s="139"/>
      <c r="H9" s="2"/>
      <c r="J9" s="3"/>
    </row>
    <row r="10" spans="1:15" ht="28.5" x14ac:dyDescent="0.7">
      <c r="A10" s="9"/>
      <c r="B10" s="156" t="s">
        <v>31</v>
      </c>
      <c r="C10" s="156"/>
      <c r="D10" s="138">
        <v>0</v>
      </c>
      <c r="E10" s="138"/>
      <c r="F10" s="138">
        <v>0</v>
      </c>
      <c r="G10" s="138"/>
      <c r="H10" s="2"/>
      <c r="J10" s="3"/>
    </row>
    <row r="11" spans="1:15" ht="28.5" x14ac:dyDescent="0.7">
      <c r="A11" s="9"/>
      <c r="B11" s="137" t="s">
        <v>29</v>
      </c>
      <c r="C11" s="137"/>
      <c r="D11" s="143">
        <f>D9-D10</f>
        <v>0</v>
      </c>
      <c r="E11" s="143"/>
      <c r="F11" s="143">
        <f>D11*0.07</f>
        <v>0</v>
      </c>
      <c r="G11" s="143"/>
      <c r="H11" s="4"/>
      <c r="J11" s="3"/>
    </row>
    <row r="12" spans="1:15" ht="28.5" x14ac:dyDescent="0.7">
      <c r="A12" s="9"/>
      <c r="B12" s="137"/>
      <c r="C12" s="137"/>
      <c r="D12" s="140"/>
      <c r="E12" s="141"/>
      <c r="F12" s="140"/>
      <c r="G12" s="141"/>
      <c r="H12" s="1"/>
      <c r="J12" s="3"/>
    </row>
    <row r="13" spans="1:15" ht="28.5" x14ac:dyDescent="0.7">
      <c r="A13" s="142" t="s">
        <v>3</v>
      </c>
      <c r="B13" s="142"/>
      <c r="C13" s="142"/>
      <c r="D13" s="142"/>
      <c r="E13" s="142"/>
      <c r="F13" s="140">
        <f>F7-F11</f>
        <v>1188.5278999999982</v>
      </c>
      <c r="G13" s="141"/>
      <c r="H13" s="1"/>
    </row>
    <row r="15" spans="1:15" ht="31.5" x14ac:dyDescent="0.65">
      <c r="A15" s="146" t="s">
        <v>32</v>
      </c>
      <c r="B15" s="146"/>
      <c r="C15" s="146"/>
      <c r="D15" s="146"/>
      <c r="E15" s="146"/>
      <c r="F15" s="146"/>
      <c r="G15" s="146"/>
      <c r="H15" s="146"/>
    </row>
    <row r="16" spans="1:15" ht="26.25" x14ac:dyDescent="0.55000000000000004">
      <c r="B16" s="144" t="s">
        <v>6</v>
      </c>
      <c r="C16" s="144"/>
      <c r="D16" s="144" t="s">
        <v>4</v>
      </c>
      <c r="E16" s="144"/>
      <c r="F16" s="144" t="s">
        <v>5</v>
      </c>
      <c r="G16" s="144"/>
      <c r="H16" s="1"/>
    </row>
    <row r="17" spans="1:8" ht="26.25" x14ac:dyDescent="0.55000000000000004">
      <c r="A17" s="9"/>
      <c r="B17" s="137" t="s">
        <v>0</v>
      </c>
      <c r="C17" s="137"/>
      <c r="D17" s="139">
        <v>1416769.7</v>
      </c>
      <c r="E17" s="139"/>
      <c r="F17" s="139">
        <v>0</v>
      </c>
      <c r="G17" s="139"/>
      <c r="H17" s="2"/>
    </row>
    <row r="18" spans="1:8" ht="28.5" x14ac:dyDescent="0.7">
      <c r="A18" s="36"/>
      <c r="B18" s="156" t="s">
        <v>31</v>
      </c>
      <c r="C18" s="156"/>
      <c r="D18" s="138">
        <v>1358339.79</v>
      </c>
      <c r="E18" s="138"/>
      <c r="F18" s="138">
        <v>0</v>
      </c>
      <c r="G18" s="138"/>
      <c r="H18" s="2"/>
    </row>
    <row r="19" spans="1:8" ht="28.5" x14ac:dyDescent="0.7">
      <c r="A19" s="36"/>
      <c r="B19" s="137" t="s">
        <v>29</v>
      </c>
      <c r="C19" s="137"/>
      <c r="D19" s="143">
        <f>D17-D18</f>
        <v>58429.909999999916</v>
      </c>
      <c r="E19" s="143"/>
      <c r="F19" s="143">
        <f>D19*0.07</f>
        <v>4090.0936999999944</v>
      </c>
      <c r="G19" s="143"/>
      <c r="H19" s="2"/>
    </row>
    <row r="20" spans="1:8" ht="15" customHeight="1" x14ac:dyDescent="0.55000000000000004">
      <c r="B20" s="157"/>
      <c r="C20" s="157"/>
      <c r="D20" s="139"/>
      <c r="E20" s="139"/>
      <c r="F20" s="139"/>
      <c r="G20" s="139"/>
      <c r="H20" s="2"/>
    </row>
    <row r="21" spans="1:8" ht="26.25" x14ac:dyDescent="0.55000000000000004">
      <c r="A21" s="9"/>
      <c r="B21" s="137" t="s">
        <v>8</v>
      </c>
      <c r="C21" s="137"/>
      <c r="D21" s="139">
        <v>2050570</v>
      </c>
      <c r="E21" s="139"/>
      <c r="F21" s="139">
        <v>0</v>
      </c>
      <c r="G21" s="139"/>
      <c r="H21" s="2"/>
    </row>
    <row r="22" spans="1:8" ht="28.5" x14ac:dyDescent="0.7">
      <c r="A22" s="9"/>
      <c r="B22" s="156" t="s">
        <v>31</v>
      </c>
      <c r="C22" s="156"/>
      <c r="D22" s="138">
        <v>1986442.5</v>
      </c>
      <c r="E22" s="138"/>
      <c r="F22" s="138">
        <v>0</v>
      </c>
      <c r="G22" s="138"/>
      <c r="H22" s="2"/>
    </row>
    <row r="23" spans="1:8" ht="28.5" x14ac:dyDescent="0.7">
      <c r="A23" s="9"/>
      <c r="B23" s="137" t="s">
        <v>29</v>
      </c>
      <c r="C23" s="137"/>
      <c r="D23" s="143">
        <f>D21-D22</f>
        <v>64127.5</v>
      </c>
      <c r="E23" s="143"/>
      <c r="F23" s="143">
        <f>D23*0.07</f>
        <v>4488.9250000000002</v>
      </c>
      <c r="G23" s="143"/>
      <c r="H23" s="4"/>
    </row>
    <row r="24" spans="1:8" ht="28.5" x14ac:dyDescent="0.7">
      <c r="A24" s="9"/>
      <c r="B24" s="137"/>
      <c r="C24" s="137"/>
      <c r="D24" s="140"/>
      <c r="E24" s="141"/>
      <c r="F24" s="140"/>
      <c r="G24" s="141"/>
      <c r="H24" s="1"/>
    </row>
    <row r="25" spans="1:8" ht="28.5" x14ac:dyDescent="0.7">
      <c r="A25" s="142" t="s">
        <v>3</v>
      </c>
      <c r="B25" s="142"/>
      <c r="C25" s="142"/>
      <c r="D25" s="142"/>
      <c r="E25" s="142"/>
      <c r="F25" s="140">
        <f>F19-F23</f>
        <v>-398.83130000000574</v>
      </c>
      <c r="G25" s="141"/>
      <c r="H25" s="1"/>
    </row>
  </sheetData>
  <mergeCells count="62">
    <mergeCell ref="B22:C22"/>
    <mergeCell ref="D22:E22"/>
    <mergeCell ref="F22:G22"/>
    <mergeCell ref="A25:E25"/>
    <mergeCell ref="F25:G25"/>
    <mergeCell ref="B23:C23"/>
    <mergeCell ref="D23:E23"/>
    <mergeCell ref="F23:G23"/>
    <mergeCell ref="B24:C24"/>
    <mergeCell ref="D24:E24"/>
    <mergeCell ref="F24:G24"/>
    <mergeCell ref="B20:C20"/>
    <mergeCell ref="D20:E20"/>
    <mergeCell ref="F20:G20"/>
    <mergeCell ref="B21:C21"/>
    <mergeCell ref="D21:E21"/>
    <mergeCell ref="F21:G21"/>
    <mergeCell ref="B18:C18"/>
    <mergeCell ref="D18:E18"/>
    <mergeCell ref="F18:G18"/>
    <mergeCell ref="B19:C19"/>
    <mergeCell ref="D19:E19"/>
    <mergeCell ref="F19:G19"/>
    <mergeCell ref="B6:C6"/>
    <mergeCell ref="D6:E6"/>
    <mergeCell ref="F6:G6"/>
    <mergeCell ref="B7:C7"/>
    <mergeCell ref="B17:C17"/>
    <mergeCell ref="D17:E17"/>
    <mergeCell ref="F17:G17"/>
    <mergeCell ref="A15:H15"/>
    <mergeCell ref="B16:C16"/>
    <mergeCell ref="D16:E16"/>
    <mergeCell ref="F16:G16"/>
    <mergeCell ref="B12:C12"/>
    <mergeCell ref="D12:E12"/>
    <mergeCell ref="F12:G12"/>
    <mergeCell ref="A13:E13"/>
    <mergeCell ref="F13:G13"/>
    <mergeCell ref="D7:E7"/>
    <mergeCell ref="B10:C10"/>
    <mergeCell ref="D10:E10"/>
    <mergeCell ref="F10:G10"/>
    <mergeCell ref="B11:C11"/>
    <mergeCell ref="D11:E11"/>
    <mergeCell ref="F11:G11"/>
    <mergeCell ref="B9:C9"/>
    <mergeCell ref="D8:E8"/>
    <mergeCell ref="F8:G8"/>
    <mergeCell ref="D9:E9"/>
    <mergeCell ref="F9:G9"/>
    <mergeCell ref="F7:G7"/>
    <mergeCell ref="B8:C8"/>
    <mergeCell ref="B5:C5"/>
    <mergeCell ref="D5:E5"/>
    <mergeCell ref="F5:G5"/>
    <mergeCell ref="A1:H1"/>
    <mergeCell ref="A2:H2"/>
    <mergeCell ref="B4:C4"/>
    <mergeCell ref="D4:E4"/>
    <mergeCell ref="F4:G4"/>
    <mergeCell ref="A3:H3"/>
  </mergeCells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workbookViewId="0">
      <selection activeCell="J15" sqref="J15"/>
    </sheetView>
  </sheetViews>
  <sheetFormatPr defaultRowHeight="14.25" x14ac:dyDescent="0.2"/>
  <cols>
    <col min="3" max="3" width="15.875" customWidth="1"/>
    <col min="5" max="5" width="12" customWidth="1"/>
    <col min="7" max="7" width="12.125" customWidth="1"/>
    <col min="8" max="8" width="9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5" max="15" width="10.25" customWidth="1"/>
  </cols>
  <sheetData>
    <row r="1" spans="1:15" ht="34.5" x14ac:dyDescent="0.7">
      <c r="A1" s="145" t="s">
        <v>40</v>
      </c>
      <c r="B1" s="145"/>
      <c r="C1" s="145"/>
      <c r="D1" s="145"/>
      <c r="E1" s="145"/>
      <c r="F1" s="145"/>
      <c r="G1" s="145"/>
      <c r="H1" s="145"/>
    </row>
    <row r="2" spans="1:15" ht="31.5" x14ac:dyDescent="0.65">
      <c r="A2" s="146" t="s">
        <v>104</v>
      </c>
      <c r="B2" s="146"/>
      <c r="C2" s="146"/>
      <c r="D2" s="146"/>
      <c r="E2" s="146"/>
      <c r="F2" s="146"/>
      <c r="G2" s="146"/>
      <c r="H2" s="146"/>
    </row>
    <row r="3" spans="1:15" ht="31.5" x14ac:dyDescent="0.65">
      <c r="A3" s="146" t="s">
        <v>30</v>
      </c>
      <c r="B3" s="146"/>
      <c r="C3" s="146"/>
      <c r="D3" s="146"/>
      <c r="E3" s="146"/>
      <c r="F3" s="146"/>
      <c r="G3" s="146"/>
      <c r="H3" s="146"/>
      <c r="N3" s="16"/>
      <c r="O3" s="16"/>
    </row>
    <row r="4" spans="1:15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45"/>
      <c r="N4" s="16"/>
      <c r="O4" s="16"/>
    </row>
    <row r="5" spans="1:15" ht="26.25" x14ac:dyDescent="0.55000000000000004">
      <c r="A5" s="9"/>
      <c r="B5" s="137" t="s">
        <v>0</v>
      </c>
      <c r="C5" s="137"/>
      <c r="D5" s="139">
        <v>378935.82</v>
      </c>
      <c r="E5" s="139"/>
      <c r="F5" s="139">
        <v>0</v>
      </c>
      <c r="G5" s="139"/>
      <c r="H5" s="2"/>
      <c r="J5" s="21"/>
      <c r="K5" s="3"/>
      <c r="N5" s="16"/>
    </row>
    <row r="6" spans="1:15" ht="26.25" x14ac:dyDescent="0.55000000000000004">
      <c r="A6" s="9"/>
      <c r="B6" s="156" t="s">
        <v>31</v>
      </c>
      <c r="C6" s="156"/>
      <c r="D6" s="139">
        <v>362676.47</v>
      </c>
      <c r="E6" s="139"/>
      <c r="F6" s="139">
        <v>0</v>
      </c>
      <c r="G6" s="139"/>
      <c r="H6" s="2"/>
      <c r="J6" s="21"/>
      <c r="K6" s="3"/>
      <c r="N6" s="16"/>
    </row>
    <row r="7" spans="1:15" ht="26.25" x14ac:dyDescent="0.55000000000000004">
      <c r="A7" s="48"/>
      <c r="B7" s="137" t="s">
        <v>39</v>
      </c>
      <c r="C7" s="137"/>
      <c r="D7" s="139">
        <f>D5-D6</f>
        <v>16259.350000000035</v>
      </c>
      <c r="E7" s="139"/>
      <c r="F7" s="139">
        <v>0</v>
      </c>
      <c r="G7" s="139"/>
      <c r="H7" s="2"/>
      <c r="J7" s="3"/>
    </row>
    <row r="8" spans="1:15" ht="28.5" x14ac:dyDescent="0.7">
      <c r="A8" s="44"/>
      <c r="B8" s="137" t="s">
        <v>38</v>
      </c>
      <c r="C8" s="137"/>
      <c r="D8" s="138">
        <v>0</v>
      </c>
      <c r="E8" s="138"/>
      <c r="F8" s="138">
        <v>0</v>
      </c>
      <c r="G8" s="138"/>
      <c r="H8" s="2"/>
      <c r="J8" s="3"/>
    </row>
    <row r="9" spans="1:15" ht="28.5" x14ac:dyDescent="0.7">
      <c r="A9" s="44"/>
      <c r="B9" s="137" t="s">
        <v>29</v>
      </c>
      <c r="C9" s="137"/>
      <c r="D9" s="143">
        <f>D7+D8</f>
        <v>16259.350000000035</v>
      </c>
      <c r="E9" s="143"/>
      <c r="F9" s="143">
        <f>D9*0.07</f>
        <v>1138.1545000000026</v>
      </c>
      <c r="G9" s="143"/>
      <c r="H9" s="2"/>
      <c r="J9" s="3"/>
    </row>
    <row r="10" spans="1:15" ht="15" customHeight="1" x14ac:dyDescent="0.55000000000000004">
      <c r="B10" s="157"/>
      <c r="C10" s="157"/>
      <c r="D10" s="139"/>
      <c r="E10" s="139"/>
      <c r="F10" s="139"/>
      <c r="G10" s="139"/>
      <c r="H10" s="2"/>
      <c r="J10" s="3"/>
      <c r="K10" s="3"/>
    </row>
    <row r="11" spans="1:15" ht="26.25" x14ac:dyDescent="0.55000000000000004">
      <c r="A11" s="9"/>
      <c r="B11" s="137" t="s">
        <v>8</v>
      </c>
      <c r="C11" s="137"/>
      <c r="D11" s="139">
        <v>11313.6</v>
      </c>
      <c r="E11" s="139"/>
      <c r="F11" s="139">
        <v>0</v>
      </c>
      <c r="G11" s="139"/>
      <c r="H11" s="2"/>
      <c r="J11" s="3"/>
    </row>
    <row r="12" spans="1:15" ht="28.5" x14ac:dyDescent="0.7">
      <c r="A12" s="9"/>
      <c r="B12" s="156"/>
      <c r="C12" s="156"/>
      <c r="D12" s="138">
        <v>0</v>
      </c>
      <c r="E12" s="138"/>
      <c r="F12" s="138">
        <v>0</v>
      </c>
      <c r="G12" s="138"/>
      <c r="H12" s="2"/>
      <c r="J12" s="3"/>
    </row>
    <row r="13" spans="1:15" ht="28.5" x14ac:dyDescent="0.7">
      <c r="A13" s="9"/>
      <c r="B13" s="137" t="s">
        <v>29</v>
      </c>
      <c r="C13" s="137"/>
      <c r="D13" s="143">
        <f>D11-D12</f>
        <v>11313.6</v>
      </c>
      <c r="E13" s="143"/>
      <c r="F13" s="143">
        <f>D13*0.07</f>
        <v>791.95200000000011</v>
      </c>
      <c r="G13" s="143"/>
      <c r="H13" s="4"/>
      <c r="J13" s="3"/>
    </row>
    <row r="14" spans="1:15" ht="28.5" x14ac:dyDescent="0.7">
      <c r="A14" s="9"/>
      <c r="B14" s="137"/>
      <c r="C14" s="137"/>
      <c r="D14" s="140"/>
      <c r="E14" s="141"/>
      <c r="F14" s="140"/>
      <c r="G14" s="141"/>
      <c r="H14" s="45"/>
      <c r="J14" s="3"/>
    </row>
    <row r="15" spans="1:15" ht="28.5" x14ac:dyDescent="0.7">
      <c r="A15" s="142" t="s">
        <v>3</v>
      </c>
      <c r="B15" s="142"/>
      <c r="C15" s="142"/>
      <c r="D15" s="142"/>
      <c r="E15" s="142"/>
      <c r="F15" s="140">
        <f>F9-F13</f>
        <v>346.20250000000249</v>
      </c>
      <c r="G15" s="141"/>
      <c r="H15" s="45"/>
    </row>
    <row r="17" spans="1:8" ht="31.5" x14ac:dyDescent="0.65">
      <c r="A17" s="146"/>
      <c r="B17" s="146"/>
      <c r="C17" s="146"/>
      <c r="D17" s="146"/>
      <c r="E17" s="146"/>
      <c r="F17" s="146"/>
      <c r="G17" s="146"/>
      <c r="H17" s="146"/>
    </row>
    <row r="18" spans="1:8" ht="26.25" x14ac:dyDescent="0.55000000000000004">
      <c r="B18" s="144"/>
      <c r="C18" s="144"/>
      <c r="D18" s="144"/>
      <c r="E18" s="144"/>
      <c r="F18" s="144"/>
      <c r="G18" s="144"/>
      <c r="H18" s="45"/>
    </row>
    <row r="19" spans="1:8" ht="26.25" x14ac:dyDescent="0.55000000000000004">
      <c r="A19" s="9"/>
      <c r="B19" s="137"/>
      <c r="C19" s="137"/>
      <c r="D19" s="139"/>
      <c r="E19" s="139"/>
      <c r="F19" s="139"/>
      <c r="G19" s="139"/>
      <c r="H19" s="2"/>
    </row>
    <row r="20" spans="1:8" ht="28.5" x14ac:dyDescent="0.7">
      <c r="A20" s="44"/>
      <c r="B20" s="156"/>
      <c r="C20" s="156"/>
      <c r="D20" s="138"/>
      <c r="E20" s="138"/>
      <c r="F20" s="138"/>
      <c r="G20" s="138"/>
      <c r="H20" s="2"/>
    </row>
    <row r="21" spans="1:8" ht="28.5" x14ac:dyDescent="0.7">
      <c r="A21" s="44"/>
      <c r="B21" s="137"/>
      <c r="C21" s="137"/>
      <c r="D21" s="143"/>
      <c r="E21" s="143"/>
      <c r="F21" s="143"/>
      <c r="G21" s="143"/>
      <c r="H21" s="2"/>
    </row>
    <row r="22" spans="1:8" ht="15" customHeight="1" x14ac:dyDescent="0.55000000000000004">
      <c r="B22" s="157"/>
      <c r="C22" s="157"/>
      <c r="D22" s="139"/>
      <c r="E22" s="139"/>
      <c r="F22" s="139"/>
      <c r="G22" s="139"/>
      <c r="H22" s="2"/>
    </row>
    <row r="23" spans="1:8" ht="26.25" x14ac:dyDescent="0.55000000000000004">
      <c r="A23" s="9"/>
      <c r="B23" s="137"/>
      <c r="C23" s="137"/>
      <c r="D23" s="139"/>
      <c r="E23" s="139"/>
      <c r="F23" s="139"/>
      <c r="G23" s="139"/>
      <c r="H23" s="2"/>
    </row>
    <row r="24" spans="1:8" ht="28.5" x14ac:dyDescent="0.7">
      <c r="A24" s="9"/>
      <c r="B24" s="156"/>
      <c r="C24" s="156"/>
      <c r="D24" s="138"/>
      <c r="E24" s="138"/>
      <c r="F24" s="138"/>
      <c r="G24" s="138"/>
      <c r="H24" s="2"/>
    </row>
    <row r="25" spans="1:8" ht="28.5" x14ac:dyDescent="0.7">
      <c r="A25" s="9"/>
      <c r="B25" s="137"/>
      <c r="C25" s="137"/>
      <c r="D25" s="143"/>
      <c r="E25" s="143"/>
      <c r="F25" s="143"/>
      <c r="G25" s="143"/>
      <c r="H25" s="4"/>
    </row>
    <row r="26" spans="1:8" ht="28.5" x14ac:dyDescent="0.7">
      <c r="A26" s="9"/>
      <c r="B26" s="137"/>
      <c r="C26" s="137"/>
      <c r="D26" s="140"/>
      <c r="E26" s="141"/>
      <c r="F26" s="140"/>
      <c r="G26" s="141"/>
      <c r="H26" s="45"/>
    </row>
    <row r="27" spans="1:8" ht="28.5" x14ac:dyDescent="0.7">
      <c r="A27" s="142"/>
      <c r="B27" s="142"/>
      <c r="C27" s="142"/>
      <c r="D27" s="142"/>
      <c r="E27" s="142"/>
      <c r="F27" s="140"/>
      <c r="G27" s="141"/>
      <c r="H27" s="45"/>
    </row>
  </sheetData>
  <mergeCells count="68">
    <mergeCell ref="A1:H1"/>
    <mergeCell ref="A2:H2"/>
    <mergeCell ref="A3:H3"/>
    <mergeCell ref="B4:C4"/>
    <mergeCell ref="D4:E4"/>
    <mergeCell ref="F4:G4"/>
    <mergeCell ref="B5:C5"/>
    <mergeCell ref="D5:E5"/>
    <mergeCell ref="F5:G5"/>
    <mergeCell ref="B8:C8"/>
    <mergeCell ref="D8:E8"/>
    <mergeCell ref="F8:G8"/>
    <mergeCell ref="B6:C6"/>
    <mergeCell ref="D6:E6"/>
    <mergeCell ref="F6:G6"/>
    <mergeCell ref="B7:C7"/>
    <mergeCell ref="D7:E7"/>
    <mergeCell ref="F7:G7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A15:E15"/>
    <mergeCell ref="F15:G15"/>
    <mergeCell ref="A17:H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A27:E27"/>
    <mergeCell ref="F27:G27"/>
    <mergeCell ref="B25:C25"/>
    <mergeCell ref="D25:E25"/>
    <mergeCell ref="F25:G25"/>
    <mergeCell ref="B26:C26"/>
    <mergeCell ref="D26:E26"/>
    <mergeCell ref="F26:G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workbookViewId="0">
      <selection activeCell="D7" sqref="D7:E7"/>
    </sheetView>
  </sheetViews>
  <sheetFormatPr defaultRowHeight="14.25" x14ac:dyDescent="0.2"/>
  <cols>
    <col min="3" max="3" width="15.875" customWidth="1"/>
    <col min="5" max="5" width="12" customWidth="1"/>
    <col min="7" max="7" width="12.125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5" max="15" width="10.25" customWidth="1"/>
  </cols>
  <sheetData>
    <row r="1" spans="1:15" ht="34.5" x14ac:dyDescent="0.7">
      <c r="A1" s="145" t="s">
        <v>37</v>
      </c>
      <c r="B1" s="145"/>
      <c r="C1" s="145"/>
      <c r="D1" s="145"/>
      <c r="E1" s="145"/>
      <c r="F1" s="145"/>
      <c r="G1" s="145"/>
      <c r="H1" s="145"/>
    </row>
    <row r="2" spans="1:15" ht="31.5" x14ac:dyDescent="0.65">
      <c r="A2" s="146" t="s">
        <v>104</v>
      </c>
      <c r="B2" s="146"/>
      <c r="C2" s="146"/>
      <c r="D2" s="146"/>
      <c r="E2" s="146"/>
      <c r="F2" s="146"/>
      <c r="G2" s="146"/>
      <c r="H2" s="146"/>
    </row>
    <row r="3" spans="1:15" ht="31.5" x14ac:dyDescent="0.65">
      <c r="A3" s="146" t="s">
        <v>30</v>
      </c>
      <c r="B3" s="146"/>
      <c r="C3" s="146"/>
      <c r="D3" s="146"/>
      <c r="E3" s="146"/>
      <c r="F3" s="146"/>
      <c r="G3" s="146"/>
      <c r="H3" s="146"/>
      <c r="N3" s="16"/>
      <c r="O3" s="16"/>
    </row>
    <row r="4" spans="1:15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50"/>
      <c r="N4" s="16"/>
      <c r="O4" s="16"/>
    </row>
    <row r="5" spans="1:15" ht="26.25" x14ac:dyDescent="0.55000000000000004">
      <c r="A5" s="9"/>
      <c r="B5" s="137" t="s">
        <v>0</v>
      </c>
      <c r="C5" s="137"/>
      <c r="D5" s="139">
        <v>2849052.6</v>
      </c>
      <c r="E5" s="139"/>
      <c r="F5" s="139">
        <v>0</v>
      </c>
      <c r="G5" s="139"/>
      <c r="H5" s="2"/>
      <c r="J5" s="21"/>
      <c r="K5" s="3"/>
      <c r="N5" s="16"/>
    </row>
    <row r="6" spans="1:15" ht="26.25" x14ac:dyDescent="0.55000000000000004">
      <c r="A6" s="9"/>
      <c r="B6" s="156" t="s">
        <v>31</v>
      </c>
      <c r="C6" s="156"/>
      <c r="D6" s="139">
        <v>2719601.67</v>
      </c>
      <c r="E6" s="139"/>
      <c r="F6" s="139">
        <v>0</v>
      </c>
      <c r="G6" s="139"/>
      <c r="H6" s="2"/>
      <c r="J6" s="21"/>
      <c r="K6" s="3"/>
      <c r="N6" s="16"/>
    </row>
    <row r="7" spans="1:15" ht="26.25" x14ac:dyDescent="0.55000000000000004">
      <c r="A7" s="49"/>
      <c r="B7" s="137" t="s">
        <v>39</v>
      </c>
      <c r="C7" s="137"/>
      <c r="D7" s="139">
        <f>D5-D6</f>
        <v>129450.93000000017</v>
      </c>
      <c r="E7" s="139"/>
      <c r="F7" s="139">
        <v>0</v>
      </c>
      <c r="G7" s="139"/>
      <c r="H7" s="2"/>
      <c r="J7" s="3"/>
    </row>
    <row r="8" spans="1:15" ht="28.5" x14ac:dyDescent="0.7">
      <c r="A8" s="49"/>
      <c r="B8" s="137" t="s">
        <v>38</v>
      </c>
      <c r="C8" s="137"/>
      <c r="D8" s="138">
        <v>0</v>
      </c>
      <c r="E8" s="138"/>
      <c r="F8" s="138">
        <v>0</v>
      </c>
      <c r="G8" s="138"/>
      <c r="H8" s="2"/>
      <c r="J8" s="3"/>
    </row>
    <row r="9" spans="1:15" ht="28.5" x14ac:dyDescent="0.7">
      <c r="A9" s="49"/>
      <c r="B9" s="137" t="s">
        <v>29</v>
      </c>
      <c r="C9" s="137"/>
      <c r="D9" s="143">
        <f>D7+D8</f>
        <v>129450.93000000017</v>
      </c>
      <c r="E9" s="143"/>
      <c r="F9" s="143">
        <f>D9*0.07</f>
        <v>9061.5651000000125</v>
      </c>
      <c r="G9" s="143"/>
      <c r="H9" s="2"/>
      <c r="J9" s="3"/>
    </row>
    <row r="10" spans="1:15" ht="15" customHeight="1" x14ac:dyDescent="0.55000000000000004">
      <c r="B10" s="157"/>
      <c r="C10" s="157"/>
      <c r="D10" s="139"/>
      <c r="E10" s="139"/>
      <c r="F10" s="139"/>
      <c r="G10" s="139"/>
      <c r="H10" s="2"/>
      <c r="J10" s="3"/>
      <c r="K10" s="3"/>
    </row>
    <row r="11" spans="1:15" ht="26.25" x14ac:dyDescent="0.55000000000000004">
      <c r="A11" s="9"/>
      <c r="B11" s="137" t="s">
        <v>8</v>
      </c>
      <c r="C11" s="137"/>
      <c r="D11" s="139">
        <v>73474.34</v>
      </c>
      <c r="E11" s="139"/>
      <c r="F11" s="139"/>
      <c r="G11" s="139"/>
      <c r="H11" s="2"/>
      <c r="J11" s="3"/>
    </row>
    <row r="12" spans="1:15" ht="28.5" x14ac:dyDescent="0.7">
      <c r="A12" s="9"/>
      <c r="B12" s="156"/>
      <c r="C12" s="156"/>
      <c r="D12" s="138">
        <v>0</v>
      </c>
      <c r="E12" s="138"/>
      <c r="F12" s="138">
        <v>0</v>
      </c>
      <c r="G12" s="138"/>
      <c r="H12" s="2"/>
      <c r="J12" s="3"/>
    </row>
    <row r="13" spans="1:15" ht="28.5" x14ac:dyDescent="0.7">
      <c r="A13" s="9"/>
      <c r="B13" s="137" t="s">
        <v>29</v>
      </c>
      <c r="C13" s="137"/>
      <c r="D13" s="143">
        <f>D11-D12</f>
        <v>73474.34</v>
      </c>
      <c r="E13" s="143"/>
      <c r="F13" s="143">
        <f>D13*0.07</f>
        <v>5143.2038000000002</v>
      </c>
      <c r="G13" s="143"/>
      <c r="H13" s="4"/>
      <c r="J13" s="3"/>
    </row>
    <row r="14" spans="1:15" ht="28.5" x14ac:dyDescent="0.7">
      <c r="A14" s="9"/>
      <c r="B14" s="137"/>
      <c r="C14" s="137"/>
      <c r="D14" s="140"/>
      <c r="E14" s="141"/>
      <c r="F14" s="140"/>
      <c r="G14" s="141"/>
      <c r="H14" s="50"/>
      <c r="J14" s="3"/>
    </row>
    <row r="15" spans="1:15" ht="28.5" x14ac:dyDescent="0.7">
      <c r="A15" s="142" t="s">
        <v>3</v>
      </c>
      <c r="B15" s="142"/>
      <c r="C15" s="142"/>
      <c r="D15" s="142"/>
      <c r="E15" s="142"/>
      <c r="F15" s="140">
        <f>F9-F13</f>
        <v>3918.3613000000123</v>
      </c>
      <c r="G15" s="141"/>
      <c r="H15" s="50"/>
    </row>
    <row r="17" spans="1:8" ht="31.5" x14ac:dyDescent="0.65">
      <c r="A17" s="146"/>
      <c r="B17" s="146"/>
      <c r="C17" s="146"/>
      <c r="D17" s="146"/>
      <c r="E17" s="146"/>
      <c r="F17" s="146"/>
      <c r="G17" s="146"/>
      <c r="H17" s="146"/>
    </row>
    <row r="18" spans="1:8" ht="26.25" x14ac:dyDescent="0.55000000000000004">
      <c r="B18" s="144"/>
      <c r="C18" s="144"/>
      <c r="D18" s="144"/>
      <c r="E18" s="144"/>
      <c r="F18" s="144"/>
      <c r="G18" s="144"/>
      <c r="H18" s="50"/>
    </row>
    <row r="19" spans="1:8" ht="26.25" x14ac:dyDescent="0.55000000000000004">
      <c r="A19" s="9"/>
      <c r="B19" s="137"/>
      <c r="C19" s="137"/>
      <c r="D19" s="139"/>
      <c r="E19" s="139"/>
      <c r="F19" s="139"/>
      <c r="G19" s="139"/>
      <c r="H19" s="2"/>
    </row>
    <row r="20" spans="1:8" ht="28.5" x14ac:dyDescent="0.7">
      <c r="A20" s="49"/>
      <c r="B20" s="156"/>
      <c r="C20" s="156"/>
      <c r="D20" s="138"/>
      <c r="E20" s="138"/>
      <c r="F20" s="138"/>
      <c r="G20" s="138"/>
      <c r="H20" s="2"/>
    </row>
    <row r="21" spans="1:8" ht="28.5" x14ac:dyDescent="0.7">
      <c r="A21" s="49"/>
      <c r="B21" s="137"/>
      <c r="C21" s="137"/>
      <c r="D21" s="143"/>
      <c r="E21" s="143"/>
      <c r="F21" s="143"/>
      <c r="G21" s="143"/>
      <c r="H21" s="2"/>
    </row>
    <row r="22" spans="1:8" ht="15" customHeight="1" x14ac:dyDescent="0.55000000000000004">
      <c r="B22" s="157"/>
      <c r="C22" s="157"/>
      <c r="D22" s="139"/>
      <c r="E22" s="139"/>
      <c r="F22" s="139"/>
      <c r="G22" s="139"/>
      <c r="H22" s="2"/>
    </row>
    <row r="23" spans="1:8" ht="26.25" x14ac:dyDescent="0.55000000000000004">
      <c r="A23" s="9"/>
      <c r="B23" s="137"/>
      <c r="C23" s="137"/>
      <c r="D23" s="139"/>
      <c r="E23" s="139"/>
      <c r="F23" s="139"/>
      <c r="G23" s="139"/>
      <c r="H23" s="2"/>
    </row>
    <row r="24" spans="1:8" ht="28.5" x14ac:dyDescent="0.7">
      <c r="A24" s="9"/>
      <c r="B24" s="156"/>
      <c r="C24" s="156"/>
      <c r="D24" s="138"/>
      <c r="E24" s="138"/>
      <c r="F24" s="138"/>
      <c r="G24" s="138"/>
      <c r="H24" s="2"/>
    </row>
    <row r="25" spans="1:8" ht="28.5" x14ac:dyDescent="0.7">
      <c r="A25" s="9"/>
      <c r="B25" s="137"/>
      <c r="C25" s="137"/>
      <c r="D25" s="143"/>
      <c r="E25" s="143"/>
      <c r="F25" s="143"/>
      <c r="G25" s="143"/>
      <c r="H25" s="4"/>
    </row>
    <row r="26" spans="1:8" ht="28.5" x14ac:dyDescent="0.7">
      <c r="A26" s="9"/>
      <c r="B26" s="137"/>
      <c r="C26" s="137"/>
      <c r="D26" s="140"/>
      <c r="E26" s="141"/>
      <c r="F26" s="140"/>
      <c r="G26" s="141"/>
      <c r="H26" s="50"/>
    </row>
    <row r="27" spans="1:8" ht="28.5" x14ac:dyDescent="0.7">
      <c r="A27" s="142"/>
      <c r="B27" s="142"/>
      <c r="C27" s="142"/>
      <c r="D27" s="142"/>
      <c r="E27" s="142"/>
      <c r="F27" s="140"/>
      <c r="G27" s="141"/>
      <c r="H27" s="50"/>
    </row>
  </sheetData>
  <mergeCells count="68">
    <mergeCell ref="A27:E27"/>
    <mergeCell ref="F27:G27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A15:E15"/>
    <mergeCell ref="F15:G15"/>
    <mergeCell ref="A17:H17"/>
    <mergeCell ref="B18:C18"/>
    <mergeCell ref="D18:E18"/>
    <mergeCell ref="F18:G18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9:C9"/>
    <mergeCell ref="D9:E9"/>
    <mergeCell ref="F9:G9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B6:C6"/>
    <mergeCell ref="D6:E6"/>
    <mergeCell ref="F6:G6"/>
    <mergeCell ref="A1:H1"/>
    <mergeCell ref="A2:H2"/>
    <mergeCell ref="A3:H3"/>
    <mergeCell ref="B4:C4"/>
    <mergeCell ref="D4:E4"/>
    <mergeCell ref="F4:G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workbookViewId="0">
      <selection activeCell="F15" sqref="F15:G15"/>
    </sheetView>
  </sheetViews>
  <sheetFormatPr defaultRowHeight="14.25" x14ac:dyDescent="0.2"/>
  <cols>
    <col min="3" max="3" width="15.875" customWidth="1"/>
    <col min="5" max="5" width="12" customWidth="1"/>
    <col min="7" max="7" width="12.125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5" max="15" width="10.25" customWidth="1"/>
  </cols>
  <sheetData>
    <row r="1" spans="1:15" ht="34.5" x14ac:dyDescent="0.7">
      <c r="A1" s="145" t="s">
        <v>41</v>
      </c>
      <c r="B1" s="145"/>
      <c r="C1" s="145"/>
      <c r="D1" s="145"/>
      <c r="E1" s="145"/>
      <c r="F1" s="145"/>
      <c r="G1" s="145"/>
      <c r="H1" s="145"/>
    </row>
    <row r="2" spans="1:15" ht="31.5" x14ac:dyDescent="0.65">
      <c r="A2" s="146" t="s">
        <v>104</v>
      </c>
      <c r="B2" s="146"/>
      <c r="C2" s="146"/>
      <c r="D2" s="146"/>
      <c r="E2" s="146"/>
      <c r="F2" s="146"/>
      <c r="G2" s="146"/>
      <c r="H2" s="146"/>
    </row>
    <row r="3" spans="1:15" ht="31.5" x14ac:dyDescent="0.65">
      <c r="A3" s="146" t="s">
        <v>30</v>
      </c>
      <c r="B3" s="146"/>
      <c r="C3" s="146"/>
      <c r="D3" s="146"/>
      <c r="E3" s="146"/>
      <c r="F3" s="146"/>
      <c r="G3" s="146"/>
      <c r="H3" s="146"/>
      <c r="N3" s="16"/>
      <c r="O3" s="16"/>
    </row>
    <row r="4" spans="1:15" ht="26.25" x14ac:dyDescent="0.55000000000000004">
      <c r="B4" s="144" t="s">
        <v>6</v>
      </c>
      <c r="C4" s="144"/>
      <c r="D4" s="144" t="s">
        <v>4</v>
      </c>
      <c r="E4" s="144"/>
      <c r="F4" s="144" t="s">
        <v>5</v>
      </c>
      <c r="G4" s="144"/>
      <c r="H4" s="50"/>
      <c r="N4" s="16"/>
      <c r="O4" s="16"/>
    </row>
    <row r="5" spans="1:15" ht="26.25" x14ac:dyDescent="0.55000000000000004">
      <c r="A5" s="9"/>
      <c r="B5" s="137" t="s">
        <v>0</v>
      </c>
      <c r="C5" s="137"/>
      <c r="D5" s="139">
        <v>10410544.02</v>
      </c>
      <c r="E5" s="139"/>
      <c r="F5" s="139">
        <v>0</v>
      </c>
      <c r="G5" s="139"/>
      <c r="H5" s="2"/>
      <c r="J5" s="21"/>
      <c r="K5" s="3"/>
      <c r="N5" s="16"/>
    </row>
    <row r="6" spans="1:15" ht="26.25" x14ac:dyDescent="0.55000000000000004">
      <c r="A6" s="9"/>
      <c r="B6" s="156" t="s">
        <v>31</v>
      </c>
      <c r="C6" s="156"/>
      <c r="D6" s="139">
        <v>9970345.4199999999</v>
      </c>
      <c r="E6" s="139"/>
      <c r="F6" s="139">
        <v>0</v>
      </c>
      <c r="G6" s="139"/>
      <c r="H6" s="2"/>
      <c r="J6" s="21"/>
      <c r="K6" s="3"/>
      <c r="N6" s="16"/>
    </row>
    <row r="7" spans="1:15" ht="26.25" x14ac:dyDescent="0.55000000000000004">
      <c r="A7" s="49"/>
      <c r="B7" s="137" t="s">
        <v>39</v>
      </c>
      <c r="C7" s="137"/>
      <c r="D7" s="139">
        <f>D5-D6</f>
        <v>440198.59999999963</v>
      </c>
      <c r="E7" s="139"/>
      <c r="F7" s="139">
        <v>0</v>
      </c>
      <c r="G7" s="139"/>
      <c r="H7" s="2"/>
      <c r="J7" s="3"/>
    </row>
    <row r="8" spans="1:15" ht="28.5" x14ac:dyDescent="0.7">
      <c r="A8" s="49"/>
      <c r="B8" s="137" t="s">
        <v>38</v>
      </c>
      <c r="C8" s="137"/>
      <c r="D8" s="138">
        <v>0</v>
      </c>
      <c r="E8" s="138"/>
      <c r="F8" s="138">
        <v>0</v>
      </c>
      <c r="G8" s="138"/>
      <c r="H8" s="2"/>
      <c r="J8" s="3"/>
    </row>
    <row r="9" spans="1:15" ht="28.5" x14ac:dyDescent="0.7">
      <c r="A9" s="49"/>
      <c r="B9" s="137" t="s">
        <v>29</v>
      </c>
      <c r="C9" s="137"/>
      <c r="D9" s="143">
        <f>D7+D8</f>
        <v>440198.59999999963</v>
      </c>
      <c r="E9" s="143"/>
      <c r="F9" s="143">
        <f>D9*0.07</f>
        <v>30813.901999999976</v>
      </c>
      <c r="G9" s="143"/>
      <c r="H9" s="2"/>
      <c r="J9" s="3"/>
    </row>
    <row r="10" spans="1:15" ht="15" customHeight="1" x14ac:dyDescent="0.55000000000000004">
      <c r="B10" s="157"/>
      <c r="C10" s="157"/>
      <c r="D10" s="139"/>
      <c r="E10" s="139"/>
      <c r="F10" s="139"/>
      <c r="G10" s="139"/>
      <c r="H10" s="2"/>
      <c r="J10" s="3"/>
      <c r="K10" s="3"/>
    </row>
    <row r="11" spans="1:15" ht="26.25" x14ac:dyDescent="0.55000000000000004">
      <c r="A11" s="9"/>
      <c r="B11" s="137" t="s">
        <v>8</v>
      </c>
      <c r="C11" s="137"/>
      <c r="D11" s="139">
        <v>378186.85</v>
      </c>
      <c r="E11" s="139"/>
      <c r="F11" s="139"/>
      <c r="G11" s="139"/>
      <c r="H11" s="2"/>
      <c r="J11" s="3"/>
    </row>
    <row r="12" spans="1:15" ht="28.5" x14ac:dyDescent="0.7">
      <c r="A12" s="9"/>
      <c r="B12" s="156"/>
      <c r="C12" s="156"/>
      <c r="D12" s="138">
        <v>0</v>
      </c>
      <c r="E12" s="138"/>
      <c r="F12" s="138">
        <v>0</v>
      </c>
      <c r="G12" s="138"/>
      <c r="H12" s="2"/>
      <c r="J12" s="3"/>
    </row>
    <row r="13" spans="1:15" ht="28.5" x14ac:dyDescent="0.7">
      <c r="A13" s="9"/>
      <c r="B13" s="137" t="s">
        <v>29</v>
      </c>
      <c r="C13" s="137"/>
      <c r="D13" s="143">
        <f>D11-D12</f>
        <v>378186.85</v>
      </c>
      <c r="E13" s="143"/>
      <c r="F13" s="143">
        <f>D13*0.07</f>
        <v>26473.0795</v>
      </c>
      <c r="G13" s="143"/>
      <c r="H13" s="4"/>
      <c r="J13" s="3"/>
    </row>
    <row r="14" spans="1:15" ht="28.5" x14ac:dyDescent="0.7">
      <c r="A14" s="9"/>
      <c r="B14" s="137"/>
      <c r="C14" s="137"/>
      <c r="D14" s="140"/>
      <c r="E14" s="141"/>
      <c r="F14" s="140"/>
      <c r="G14" s="141"/>
      <c r="H14" s="50"/>
      <c r="J14" s="3"/>
    </row>
    <row r="15" spans="1:15" ht="28.5" x14ac:dyDescent="0.7">
      <c r="A15" s="142" t="s">
        <v>3</v>
      </c>
      <c r="B15" s="142"/>
      <c r="C15" s="142"/>
      <c r="D15" s="142"/>
      <c r="E15" s="142"/>
      <c r="F15" s="140">
        <f>F9-F13</f>
        <v>4340.8224999999766</v>
      </c>
      <c r="G15" s="141"/>
      <c r="H15" s="50"/>
    </row>
    <row r="17" spans="1:8" ht="31.5" x14ac:dyDescent="0.65">
      <c r="A17" s="146"/>
      <c r="B17" s="146"/>
      <c r="C17" s="146"/>
      <c r="D17" s="146"/>
      <c r="E17" s="146"/>
      <c r="F17" s="146"/>
      <c r="G17" s="146"/>
      <c r="H17" s="146"/>
    </row>
    <row r="18" spans="1:8" ht="26.25" x14ac:dyDescent="0.55000000000000004">
      <c r="B18" s="144"/>
      <c r="C18" s="144"/>
      <c r="D18" s="144"/>
      <c r="E18" s="144"/>
      <c r="F18" s="144"/>
      <c r="G18" s="144"/>
      <c r="H18" s="50"/>
    </row>
    <row r="19" spans="1:8" ht="26.25" x14ac:dyDescent="0.55000000000000004">
      <c r="A19" s="9"/>
      <c r="B19" s="137"/>
      <c r="C19" s="137"/>
      <c r="D19" s="139"/>
      <c r="E19" s="139"/>
      <c r="F19" s="139"/>
      <c r="G19" s="139"/>
      <c r="H19" s="2"/>
    </row>
    <row r="20" spans="1:8" ht="28.5" x14ac:dyDescent="0.7">
      <c r="A20" s="49"/>
      <c r="B20" s="156"/>
      <c r="C20" s="156"/>
      <c r="D20" s="138"/>
      <c r="E20" s="138"/>
      <c r="F20" s="138"/>
      <c r="G20" s="138"/>
      <c r="H20" s="2"/>
    </row>
    <row r="21" spans="1:8" ht="28.5" x14ac:dyDescent="0.7">
      <c r="A21" s="49"/>
      <c r="B21" s="137"/>
      <c r="C21" s="137"/>
      <c r="D21" s="143"/>
      <c r="E21" s="143"/>
      <c r="F21" s="143"/>
      <c r="G21" s="143"/>
      <c r="H21" s="2"/>
    </row>
    <row r="22" spans="1:8" ht="15" customHeight="1" x14ac:dyDescent="0.55000000000000004">
      <c r="B22" s="157"/>
      <c r="C22" s="157"/>
      <c r="D22" s="139"/>
      <c r="E22" s="139"/>
      <c r="F22" s="139"/>
      <c r="G22" s="139"/>
      <c r="H22" s="2"/>
    </row>
    <row r="23" spans="1:8" ht="26.25" x14ac:dyDescent="0.55000000000000004">
      <c r="A23" s="9"/>
      <c r="B23" s="137"/>
      <c r="C23" s="137"/>
      <c r="D23" s="139"/>
      <c r="E23" s="139"/>
      <c r="F23" s="139"/>
      <c r="G23" s="139"/>
      <c r="H23" s="2"/>
    </row>
    <row r="24" spans="1:8" ht="28.5" x14ac:dyDescent="0.7">
      <c r="A24" s="9"/>
      <c r="B24" s="156"/>
      <c r="C24" s="156"/>
      <c r="D24" s="138"/>
      <c r="E24" s="138"/>
      <c r="F24" s="138"/>
      <c r="G24" s="138"/>
      <c r="H24" s="2"/>
    </row>
    <row r="25" spans="1:8" ht="28.5" x14ac:dyDescent="0.7">
      <c r="A25" s="9"/>
      <c r="B25" s="137"/>
      <c r="C25" s="137"/>
      <c r="D25" s="143"/>
      <c r="E25" s="143"/>
      <c r="F25" s="143"/>
      <c r="G25" s="143"/>
      <c r="H25" s="4"/>
    </row>
    <row r="26" spans="1:8" ht="28.5" x14ac:dyDescent="0.7">
      <c r="A26" s="9"/>
      <c r="B26" s="137"/>
      <c r="C26" s="137"/>
      <c r="D26" s="140"/>
      <c r="E26" s="141"/>
      <c r="F26" s="140"/>
      <c r="G26" s="141"/>
      <c r="H26" s="50"/>
    </row>
    <row r="27" spans="1:8" ht="28.5" x14ac:dyDescent="0.7">
      <c r="A27" s="142"/>
      <c r="B27" s="142"/>
      <c r="C27" s="142"/>
      <c r="D27" s="142"/>
      <c r="E27" s="142"/>
      <c r="F27" s="140"/>
      <c r="G27" s="141"/>
      <c r="H27" s="50"/>
    </row>
  </sheetData>
  <mergeCells count="68">
    <mergeCell ref="A27:E27"/>
    <mergeCell ref="F27:G27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A15:E15"/>
    <mergeCell ref="F15:G15"/>
    <mergeCell ref="A17:H17"/>
    <mergeCell ref="B18:C18"/>
    <mergeCell ref="D18:E18"/>
    <mergeCell ref="F18:G18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9:C9"/>
    <mergeCell ref="D9:E9"/>
    <mergeCell ref="F9:G9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B6:C6"/>
    <mergeCell ref="D6:E6"/>
    <mergeCell ref="F6:G6"/>
    <mergeCell ref="A1:H1"/>
    <mergeCell ref="A2:H2"/>
    <mergeCell ref="A3:H3"/>
    <mergeCell ref="B4:C4"/>
    <mergeCell ref="D4:E4"/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14</vt:i4>
      </vt:variant>
      <vt:variant>
        <vt:lpstr>ช่วงที่มีชื่อ</vt:lpstr>
      </vt:variant>
      <vt:variant>
        <vt:i4>9</vt:i4>
      </vt:variant>
    </vt:vector>
  </HeadingPairs>
  <TitlesOfParts>
    <vt:vector size="23" baseType="lpstr">
      <vt:lpstr>นานายิ่งไพศาล</vt:lpstr>
      <vt:lpstr>เอ็มทีทวีทรัพย์</vt:lpstr>
      <vt:lpstr>โรงน้ำแข็งไทยวิบูลย์</vt:lpstr>
      <vt:lpstr>ชุมพล</vt:lpstr>
      <vt:lpstr>บ้านโพนมอเตอร์</vt:lpstr>
      <vt:lpstr>นวพร 1999</vt:lpstr>
      <vt:lpstr>นวทอง</vt:lpstr>
      <vt:lpstr>ลิ้มเคียนฮวด</vt:lpstr>
      <vt:lpstr>ห้างทองศรีฟ้า</vt:lpstr>
      <vt:lpstr>ทวีทรัพย์LPG สนญ.</vt:lpstr>
      <vt:lpstr>จักรยานแก๊ส</vt:lpstr>
      <vt:lpstr>ทวีทรัพย์LPG สาขา</vt:lpstr>
      <vt:lpstr>โชคเจริญไพศาล</vt:lpstr>
      <vt:lpstr>รถบ้านบุญมาก</vt:lpstr>
      <vt:lpstr>จักรยานแก๊ส!Print_Area</vt:lpstr>
      <vt:lpstr>โชคเจริญไพศาล!Print_Area</vt:lpstr>
      <vt:lpstr>'ทวีทรัพย์LPG สนญ.'!Print_Area</vt:lpstr>
      <vt:lpstr>'ทวีทรัพย์LPG สาขา'!Print_Area</vt:lpstr>
      <vt:lpstr>'นวพร 1999'!Print_Area</vt:lpstr>
      <vt:lpstr>นานายิ่งไพศาล!Print_Area</vt:lpstr>
      <vt:lpstr>รถบ้านบุญมาก!Print_Area</vt:lpstr>
      <vt:lpstr>โรงน้ำแข็งไทยวิบูลย์!Print_Area</vt:lpstr>
      <vt:lpstr>เอ็มทีทวีทรัพย์!Print_Area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2018-10-20T05:05:34Z</dcterms:modified>
</cp:coreProperties>
</file>