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faculty/Dropbox/Documents_Hunter/Teaching/PSY705/lessons/week7/"/>
    </mc:Choice>
  </mc:AlternateContent>
  <xr:revisionPtr revIDLastSave="0" documentId="13_ncr:1_{41A329B5-B75C-D348-8E38-966CACC512C3}" xr6:coauthVersionLast="47" xr6:coauthVersionMax="47" xr10:uidLastSave="{00000000-0000-0000-0000-000000000000}"/>
  <bookViews>
    <workbookView xWindow="0" yWindow="500" windowWidth="28800" windowHeight="15800" tabRatio="500" xr2:uid="{00000000-000D-0000-FFFF-FFFF00000000}"/>
  </bookViews>
  <sheets>
    <sheet name="Sheet1" sheetId="1" r:id="rId1"/>
    <sheet name="Sheet2" sheetId="2" r:id="rId2"/>
  </sheets>
  <definedNames>
    <definedName name="_Hlk482959885" localSheetId="0">Sheet1!#REF!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1" l="1"/>
  <c r="H6" i="1"/>
  <c r="H8" i="1"/>
  <c r="H11" i="1"/>
  <c r="H12" i="1"/>
  <c r="H14" i="1"/>
  <c r="H15" i="1"/>
  <c r="H17" i="1"/>
  <c r="H18" i="1"/>
  <c r="H19" i="1"/>
  <c r="H20" i="1"/>
  <c r="H21" i="1"/>
  <c r="H22" i="1"/>
  <c r="H23" i="1"/>
  <c r="H25" i="1"/>
  <c r="H26" i="1"/>
  <c r="H27" i="1"/>
  <c r="H28" i="1"/>
  <c r="H30" i="1"/>
  <c r="H33" i="1"/>
  <c r="H34" i="1"/>
  <c r="H36" i="1"/>
  <c r="H37" i="1"/>
  <c r="H39" i="1"/>
  <c r="H40" i="1"/>
  <c r="H42" i="1"/>
  <c r="H43" i="1"/>
  <c r="H46" i="1"/>
  <c r="H47" i="1"/>
  <c r="H50" i="1"/>
  <c r="H51" i="1"/>
  <c r="H52" i="1"/>
  <c r="H53" i="1"/>
  <c r="H54" i="1"/>
  <c r="H55" i="1"/>
  <c r="H56" i="1"/>
  <c r="H57" i="1"/>
  <c r="H58" i="1"/>
  <c r="H59" i="1"/>
  <c r="H60" i="1"/>
  <c r="H61" i="1"/>
  <c r="H63" i="1"/>
  <c r="H64" i="1"/>
  <c r="H65" i="1"/>
  <c r="H66" i="1"/>
  <c r="H67" i="1"/>
  <c r="H68" i="1"/>
  <c r="H69" i="1"/>
  <c r="H70" i="1"/>
  <c r="H71" i="1"/>
  <c r="H73" i="1"/>
  <c r="H74" i="1"/>
  <c r="H75" i="1"/>
  <c r="H76" i="1"/>
  <c r="H77" i="1"/>
  <c r="H78" i="1"/>
  <c r="H79" i="1"/>
  <c r="H80" i="1"/>
  <c r="H82" i="1"/>
  <c r="H83" i="1"/>
  <c r="H84" i="1"/>
  <c r="H85" i="1"/>
  <c r="H86" i="1"/>
  <c r="H88" i="1"/>
  <c r="H90" i="1"/>
  <c r="H91" i="1"/>
  <c r="H92" i="1"/>
  <c r="H93" i="1"/>
  <c r="H94" i="1"/>
  <c r="H95" i="1"/>
  <c r="H96" i="1"/>
  <c r="H97" i="1"/>
  <c r="H98" i="1"/>
  <c r="H99" i="1"/>
  <c r="H100" i="1"/>
  <c r="H101" i="1"/>
  <c r="H103" i="1"/>
  <c r="H104" i="1"/>
  <c r="H105" i="1"/>
  <c r="H106" i="1"/>
  <c r="H108" i="1"/>
  <c r="H110" i="1"/>
  <c r="H111" i="1"/>
  <c r="H112" i="1"/>
  <c r="H113" i="1"/>
  <c r="H114" i="1"/>
  <c r="H115" i="1"/>
  <c r="H116" i="1"/>
  <c r="H119" i="1"/>
  <c r="H120" i="1"/>
  <c r="H121" i="1"/>
  <c r="H122" i="1"/>
  <c r="H123" i="1"/>
  <c r="H124" i="1"/>
  <c r="H125" i="1"/>
  <c r="H127" i="1"/>
  <c r="H128" i="1"/>
  <c r="H130" i="1"/>
  <c r="H131" i="1"/>
  <c r="H132" i="1"/>
  <c r="H133" i="1"/>
  <c r="H134" i="1"/>
  <c r="H135" i="1"/>
  <c r="H136" i="1"/>
  <c r="H137" i="1"/>
  <c r="H139" i="1"/>
  <c r="H140" i="1"/>
  <c r="H142" i="1"/>
  <c r="H144" i="1"/>
  <c r="H146" i="1"/>
  <c r="H147" i="1"/>
  <c r="H148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81" i="1"/>
  <c r="H182" i="1"/>
  <c r="H183" i="1"/>
  <c r="H184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6" i="1"/>
  <c r="H227" i="1"/>
  <c r="H228" i="1"/>
  <c r="H229" i="1"/>
  <c r="H231" i="1"/>
  <c r="H233" i="1"/>
  <c r="H234" i="1"/>
  <c r="H235" i="1"/>
  <c r="H237" i="1"/>
  <c r="H238" i="1"/>
  <c r="H239" i="1"/>
  <c r="H240" i="1"/>
  <c r="H241" i="1"/>
  <c r="H242" i="1"/>
  <c r="H244" i="1"/>
  <c r="H245" i="1"/>
  <c r="H246" i="1"/>
  <c r="H247" i="1"/>
  <c r="H250" i="1"/>
  <c r="H251" i="1"/>
  <c r="H252" i="1"/>
  <c r="H253" i="1"/>
  <c r="H254" i="1"/>
  <c r="H255" i="1"/>
  <c r="H256" i="1"/>
  <c r="H257" i="1"/>
  <c r="H259" i="1"/>
  <c r="H260" i="1"/>
  <c r="H261" i="1"/>
  <c r="H264" i="1"/>
  <c r="H265" i="1"/>
  <c r="H266" i="1"/>
  <c r="H267" i="1"/>
  <c r="H268" i="1"/>
  <c r="H269" i="1"/>
  <c r="H270" i="1"/>
  <c r="H271" i="1"/>
  <c r="H272" i="1"/>
  <c r="H275" i="1"/>
  <c r="H276" i="1"/>
  <c r="H277" i="1"/>
  <c r="H278" i="1"/>
  <c r="H280" i="1"/>
  <c r="H282" i="1"/>
  <c r="H283" i="1"/>
  <c r="H284" i="1"/>
  <c r="H285" i="1"/>
  <c r="H286" i="1"/>
  <c r="H287" i="1"/>
  <c r="H288" i="1"/>
  <c r="H289" i="1"/>
  <c r="H290" i="1"/>
  <c r="H2" i="1"/>
  <c r="M3" i="1"/>
  <c r="M4" i="1"/>
  <c r="M5" i="1"/>
  <c r="M6" i="1"/>
  <c r="M7" i="1"/>
  <c r="M8" i="1"/>
  <c r="M9" i="1"/>
  <c r="M10" i="1"/>
  <c r="M11" i="1"/>
  <c r="M12" i="1"/>
  <c r="M14" i="1"/>
  <c r="M15" i="1"/>
  <c r="M16" i="1"/>
  <c r="M18" i="1"/>
  <c r="M19" i="1"/>
  <c r="M23" i="1"/>
  <c r="M26" i="1"/>
  <c r="M28" i="1"/>
  <c r="M29" i="1"/>
  <c r="M30" i="1"/>
  <c r="M31" i="1"/>
  <c r="M32" i="1"/>
  <c r="M33" i="1"/>
  <c r="M34" i="1"/>
  <c r="M36" i="1"/>
  <c r="M42" i="1"/>
  <c r="M43" i="1"/>
  <c r="M46" i="1"/>
  <c r="M47" i="1"/>
  <c r="M48" i="1"/>
  <c r="M49" i="1"/>
  <c r="M50" i="1"/>
  <c r="AX51" i="1"/>
  <c r="M51" i="1"/>
  <c r="M53" i="1"/>
  <c r="M54" i="1"/>
  <c r="M55" i="1"/>
  <c r="M56" i="1"/>
  <c r="M57" i="1"/>
  <c r="M59" i="1"/>
  <c r="M60" i="1"/>
  <c r="M61" i="1"/>
  <c r="M63" i="1"/>
  <c r="M64" i="1"/>
  <c r="M65" i="1"/>
  <c r="M66" i="1"/>
  <c r="M67" i="1"/>
  <c r="M69" i="1"/>
  <c r="M70" i="1"/>
  <c r="M73" i="1"/>
  <c r="M74" i="1"/>
  <c r="M75" i="1"/>
  <c r="M76" i="1"/>
  <c r="M77" i="1"/>
  <c r="M78" i="1"/>
  <c r="M79" i="1"/>
  <c r="M82" i="1"/>
  <c r="M83" i="1"/>
  <c r="M84" i="1"/>
  <c r="M85" i="1"/>
  <c r="M86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3" i="1"/>
  <c r="M115" i="1"/>
  <c r="M116" i="1"/>
  <c r="M120" i="1"/>
  <c r="M121" i="1"/>
  <c r="M122" i="1"/>
  <c r="M123" i="1"/>
  <c r="M124" i="1"/>
  <c r="M125" i="1"/>
  <c r="M127" i="1"/>
  <c r="M128" i="1"/>
  <c r="M130" i="1"/>
  <c r="M131" i="1"/>
  <c r="M132" i="1"/>
  <c r="M133" i="1"/>
  <c r="M134" i="1"/>
  <c r="M135" i="1"/>
  <c r="M136" i="1"/>
  <c r="M137" i="1"/>
  <c r="M139" i="1"/>
  <c r="M140" i="1"/>
  <c r="M141" i="1"/>
  <c r="M143" i="1"/>
  <c r="M144" i="1"/>
  <c r="M145" i="1"/>
  <c r="M146" i="1"/>
  <c r="M147" i="1"/>
  <c r="M148" i="1"/>
  <c r="M149" i="1"/>
  <c r="M150" i="1"/>
  <c r="M151" i="1"/>
  <c r="M152" i="1"/>
  <c r="M153" i="1"/>
  <c r="M155" i="1"/>
  <c r="M156" i="1"/>
  <c r="M157" i="1"/>
  <c r="M158" i="1"/>
  <c r="M160" i="1"/>
  <c r="M161" i="1"/>
  <c r="M162" i="1"/>
  <c r="M163" i="1"/>
  <c r="M164" i="1"/>
  <c r="M166" i="1"/>
  <c r="M167" i="1"/>
  <c r="M168" i="1"/>
  <c r="M169" i="1"/>
  <c r="M170" i="1"/>
  <c r="M171" i="1"/>
  <c r="M172" i="1"/>
  <c r="M173" i="1"/>
  <c r="M174" i="1"/>
  <c r="M175" i="1"/>
  <c r="M178" i="1"/>
  <c r="AX179" i="1"/>
  <c r="M179" i="1"/>
  <c r="M180" i="1"/>
  <c r="M181" i="1"/>
  <c r="M183" i="1"/>
  <c r="M184" i="1"/>
  <c r="M186" i="1"/>
  <c r="M187" i="1"/>
  <c r="M188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7" i="1"/>
  <c r="M208" i="1"/>
  <c r="M209" i="1"/>
  <c r="M210" i="1"/>
  <c r="M213" i="1"/>
  <c r="M214" i="1"/>
  <c r="M216" i="1"/>
  <c r="M217" i="1"/>
  <c r="M218" i="1"/>
  <c r="M219" i="1"/>
  <c r="M220" i="1"/>
  <c r="M221" i="1"/>
  <c r="M222" i="1"/>
  <c r="M223" i="1"/>
  <c r="M224" i="1"/>
  <c r="M226" i="1"/>
  <c r="M228" i="1"/>
  <c r="M229" i="1"/>
  <c r="AX230" i="1"/>
  <c r="M230" i="1"/>
  <c r="M231" i="1"/>
  <c r="M232" i="1"/>
  <c r="M234" i="1"/>
  <c r="M235" i="1"/>
  <c r="M236" i="1"/>
  <c r="M237" i="1"/>
  <c r="M238" i="1"/>
  <c r="M241" i="1"/>
  <c r="M242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9" i="1"/>
  <c r="M260" i="1"/>
  <c r="M261" i="1"/>
  <c r="M263" i="1"/>
  <c r="M264" i="1"/>
  <c r="M265" i="1"/>
  <c r="M266" i="1"/>
  <c r="M268" i="1"/>
  <c r="M269" i="1"/>
  <c r="M271" i="1"/>
  <c r="M272" i="1"/>
  <c r="AX273" i="1"/>
  <c r="M273" i="1"/>
  <c r="M275" i="1"/>
  <c r="M276" i="1"/>
  <c r="M277" i="1"/>
  <c r="M278" i="1"/>
  <c r="M280" i="1"/>
  <c r="M282" i="1"/>
  <c r="M283" i="1"/>
  <c r="M284" i="1"/>
  <c r="M285" i="1"/>
  <c r="M286" i="1"/>
  <c r="M287" i="1"/>
  <c r="M288" i="1"/>
  <c r="M289" i="1"/>
  <c r="M29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9" i="1"/>
  <c r="L40" i="1"/>
  <c r="L42" i="1"/>
  <c r="L43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3" i="1"/>
  <c r="L64" i="1"/>
  <c r="L65" i="1"/>
  <c r="L66" i="1"/>
  <c r="L67" i="1"/>
  <c r="L69" i="1"/>
  <c r="L70" i="1"/>
  <c r="L71" i="1"/>
  <c r="L73" i="1"/>
  <c r="L74" i="1"/>
  <c r="L75" i="1"/>
  <c r="L76" i="1"/>
  <c r="L77" i="1"/>
  <c r="L78" i="1"/>
  <c r="L79" i="1"/>
  <c r="L80" i="1"/>
  <c r="L82" i="1"/>
  <c r="L83" i="1"/>
  <c r="L84" i="1"/>
  <c r="L85" i="1"/>
  <c r="L86" i="1"/>
  <c r="L88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9" i="1"/>
  <c r="L120" i="1"/>
  <c r="L121" i="1"/>
  <c r="L122" i="1"/>
  <c r="L123" i="1"/>
  <c r="L124" i="1"/>
  <c r="L125" i="1"/>
  <c r="L126" i="1"/>
  <c r="L127" i="1"/>
  <c r="L128" i="1"/>
  <c r="L130" i="1"/>
  <c r="L131" i="1"/>
  <c r="L132" i="1"/>
  <c r="L133" i="1"/>
  <c r="L134" i="1"/>
  <c r="L135" i="1"/>
  <c r="L136" i="1"/>
  <c r="L137" i="1"/>
  <c r="L139" i="1"/>
  <c r="L140" i="1"/>
  <c r="L143" i="1"/>
  <c r="L144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6" i="1"/>
  <c r="L167" i="1"/>
  <c r="L168" i="1"/>
  <c r="L169" i="1"/>
  <c r="L170" i="1"/>
  <c r="L171" i="1"/>
  <c r="L172" i="1"/>
  <c r="L173" i="1"/>
  <c r="L174" i="1"/>
  <c r="L175" i="1"/>
  <c r="L177" i="1"/>
  <c r="L178" i="1"/>
  <c r="L179" i="1"/>
  <c r="L183" i="1"/>
  <c r="L184" i="1"/>
  <c r="L185" i="1"/>
  <c r="L186" i="1"/>
  <c r="L187" i="1"/>
  <c r="L188" i="1"/>
  <c r="L189" i="1"/>
  <c r="L190" i="1"/>
  <c r="L191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6" i="1"/>
  <c r="L207" i="1"/>
  <c r="L208" i="1"/>
  <c r="L209" i="1"/>
  <c r="L210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8" i="1"/>
  <c r="L229" i="1"/>
  <c r="L231" i="1"/>
  <c r="L232" i="1"/>
  <c r="L233" i="1"/>
  <c r="L234" i="1"/>
  <c r="L235" i="1"/>
  <c r="L237" i="1"/>
  <c r="L238" i="1"/>
  <c r="L239" i="1"/>
  <c r="L240" i="1"/>
  <c r="L241" i="1"/>
  <c r="L242" i="1"/>
  <c r="L244" i="1"/>
  <c r="L245" i="1"/>
  <c r="L246" i="1"/>
  <c r="AQ247" i="1"/>
  <c r="AS247" i="1"/>
  <c r="L247" i="1"/>
  <c r="L248" i="1"/>
  <c r="L249" i="1"/>
  <c r="L251" i="1"/>
  <c r="L252" i="1"/>
  <c r="L253" i="1"/>
  <c r="L254" i="1"/>
  <c r="L255" i="1"/>
  <c r="L256" i="1"/>
  <c r="L257" i="1"/>
  <c r="L258" i="1"/>
  <c r="L259" i="1"/>
  <c r="L260" i="1"/>
  <c r="L261" i="1"/>
  <c r="L263" i="1"/>
  <c r="L264" i="1"/>
  <c r="L265" i="1"/>
  <c r="L266" i="1"/>
  <c r="L267" i="1"/>
  <c r="L268" i="1"/>
  <c r="L269" i="1"/>
  <c r="L270" i="1"/>
  <c r="L271" i="1"/>
  <c r="L272" i="1"/>
  <c r="L274" i="1"/>
  <c r="L275" i="1"/>
  <c r="L276" i="1"/>
  <c r="L277" i="1"/>
  <c r="L278" i="1"/>
  <c r="L280" i="1"/>
  <c r="L282" i="1"/>
  <c r="L283" i="1"/>
  <c r="L284" i="1"/>
  <c r="L285" i="1"/>
  <c r="L286" i="1"/>
  <c r="L287" i="1"/>
  <c r="L288" i="1"/>
  <c r="L289" i="1"/>
  <c r="L290" i="1"/>
  <c r="L2" i="1"/>
  <c r="K5" i="1"/>
  <c r="K6" i="1"/>
  <c r="K7" i="1"/>
  <c r="K8" i="1"/>
  <c r="K9" i="1"/>
  <c r="K10" i="1"/>
  <c r="K11" i="1"/>
  <c r="K12" i="1"/>
  <c r="K14" i="1"/>
  <c r="K15" i="1"/>
  <c r="K16" i="1"/>
  <c r="K18" i="1"/>
  <c r="K19" i="1"/>
  <c r="K23" i="1"/>
  <c r="K24" i="1"/>
  <c r="K26" i="1"/>
  <c r="K27" i="1"/>
  <c r="K28" i="1"/>
  <c r="K30" i="1"/>
  <c r="K31" i="1"/>
  <c r="K32" i="1"/>
  <c r="K33" i="1"/>
  <c r="K34" i="1"/>
  <c r="K36" i="1"/>
  <c r="K37" i="1"/>
  <c r="K38" i="1"/>
  <c r="K40" i="1"/>
  <c r="K41" i="1"/>
  <c r="K42" i="1"/>
  <c r="K43" i="1"/>
  <c r="K44" i="1"/>
  <c r="K45" i="1"/>
  <c r="K46" i="1"/>
  <c r="K47" i="1"/>
  <c r="K56" i="1"/>
  <c r="K57" i="1"/>
  <c r="K58" i="1"/>
  <c r="K59" i="1"/>
  <c r="K60" i="1"/>
  <c r="K63" i="1"/>
  <c r="K64" i="1"/>
  <c r="K66" i="1"/>
  <c r="K67" i="1"/>
  <c r="K68" i="1"/>
  <c r="K69" i="1"/>
  <c r="K70" i="1"/>
  <c r="K72" i="1"/>
  <c r="K73" i="1"/>
  <c r="K74" i="1"/>
  <c r="K75" i="1"/>
  <c r="K76" i="1"/>
  <c r="K77" i="1"/>
  <c r="K78" i="1"/>
  <c r="K79" i="1"/>
  <c r="K80" i="1"/>
  <c r="K81" i="1"/>
  <c r="K83" i="1"/>
  <c r="K84" i="1"/>
  <c r="K85" i="1"/>
  <c r="K86" i="1"/>
  <c r="K87" i="1"/>
  <c r="K89" i="1"/>
  <c r="K90" i="1"/>
  <c r="K91" i="1"/>
  <c r="K92" i="1"/>
  <c r="K93" i="1"/>
  <c r="K94" i="1"/>
  <c r="K95" i="1"/>
  <c r="K96" i="1"/>
  <c r="K98" i="1"/>
  <c r="K99" i="1"/>
  <c r="K100" i="1"/>
  <c r="K101" i="1"/>
  <c r="K103" i="1"/>
  <c r="K104" i="1"/>
  <c r="K105" i="1"/>
  <c r="K106" i="1"/>
  <c r="K107" i="1"/>
  <c r="K108" i="1"/>
  <c r="K121" i="1"/>
  <c r="K122" i="1"/>
  <c r="K123" i="1"/>
  <c r="K124" i="1"/>
  <c r="K125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5" i="1"/>
  <c r="K146" i="1"/>
  <c r="K147" i="1"/>
  <c r="K150" i="1"/>
  <c r="K151" i="1"/>
  <c r="K152" i="1"/>
  <c r="K155" i="1"/>
  <c r="K156" i="1"/>
  <c r="K157" i="1"/>
  <c r="K158" i="1"/>
  <c r="K160" i="1"/>
  <c r="K162" i="1"/>
  <c r="K163" i="1"/>
  <c r="K165" i="1"/>
  <c r="K166" i="1"/>
  <c r="K168" i="1"/>
  <c r="K169" i="1"/>
  <c r="K171" i="1"/>
  <c r="K172" i="1"/>
  <c r="K173" i="1"/>
  <c r="K183" i="1"/>
  <c r="K184" i="1"/>
  <c r="K186" i="1"/>
  <c r="K187" i="1"/>
  <c r="K188" i="1"/>
  <c r="K189" i="1"/>
  <c r="K196" i="1"/>
  <c r="K197" i="1"/>
  <c r="K198" i="1"/>
  <c r="K199" i="1"/>
  <c r="K200" i="1"/>
  <c r="K202" i="1"/>
  <c r="K205" i="1"/>
  <c r="K207" i="1"/>
  <c r="K208" i="1"/>
  <c r="K209" i="1"/>
  <c r="K210" i="1"/>
  <c r="K211" i="1"/>
  <c r="K212" i="1"/>
  <c r="K213" i="1"/>
  <c r="K214" i="1"/>
  <c r="K216" i="1"/>
  <c r="K218" i="1"/>
  <c r="K219" i="1"/>
  <c r="K220" i="1"/>
  <c r="K221" i="1"/>
  <c r="K222" i="1"/>
  <c r="K223" i="1"/>
  <c r="K224" i="1"/>
  <c r="K225" i="1"/>
  <c r="K226" i="1"/>
  <c r="K228" i="1"/>
  <c r="K229" i="1"/>
  <c r="K230" i="1"/>
  <c r="K231" i="1"/>
  <c r="K234" i="1"/>
  <c r="K235" i="1"/>
  <c r="K237" i="1"/>
  <c r="K238" i="1"/>
  <c r="K239" i="1"/>
  <c r="K240" i="1"/>
  <c r="K241" i="1"/>
  <c r="K242" i="1"/>
  <c r="K244" i="1"/>
  <c r="K247" i="1"/>
  <c r="K253" i="1"/>
  <c r="K254" i="1"/>
  <c r="K267" i="1"/>
  <c r="K268" i="1"/>
  <c r="K269" i="1"/>
  <c r="K270" i="1"/>
  <c r="K271" i="1"/>
  <c r="K277" i="1"/>
  <c r="K278" i="1"/>
  <c r="K279" i="1"/>
  <c r="K281" i="1"/>
  <c r="K283" i="1"/>
  <c r="K284" i="1"/>
  <c r="K285" i="1"/>
  <c r="K286" i="1"/>
  <c r="K287" i="1"/>
  <c r="K288" i="1"/>
  <c r="K289" i="1"/>
  <c r="K290" i="1"/>
  <c r="K2" i="1"/>
  <c r="Y3" i="1"/>
  <c r="J3" i="1"/>
  <c r="Y5" i="1"/>
  <c r="J5" i="1"/>
  <c r="Y6" i="1"/>
  <c r="J6" i="1"/>
  <c r="Y7" i="1"/>
  <c r="J7" i="1"/>
  <c r="Y8" i="1"/>
  <c r="J8" i="1"/>
  <c r="Y9" i="1"/>
  <c r="J9" i="1"/>
  <c r="Y10" i="1"/>
  <c r="J10" i="1"/>
  <c r="Y11" i="1"/>
  <c r="J11" i="1"/>
  <c r="J12" i="1"/>
  <c r="Y14" i="1"/>
  <c r="J14" i="1"/>
  <c r="Y15" i="1"/>
  <c r="J15" i="1"/>
  <c r="J16" i="1"/>
  <c r="J18" i="1"/>
  <c r="J19" i="1"/>
  <c r="J20" i="1"/>
  <c r="J21" i="1"/>
  <c r="J22" i="1"/>
  <c r="Y23" i="1"/>
  <c r="J23" i="1"/>
  <c r="Y24" i="1"/>
  <c r="J24" i="1"/>
  <c r="Y26" i="1"/>
  <c r="J26" i="1"/>
  <c r="J27" i="1"/>
  <c r="J28" i="1"/>
  <c r="Y33" i="1"/>
  <c r="J33" i="1"/>
  <c r="Y34" i="1"/>
  <c r="J34" i="1"/>
  <c r="Y36" i="1"/>
  <c r="J36" i="1"/>
  <c r="Y37" i="1"/>
  <c r="J37" i="1"/>
  <c r="J38" i="1"/>
  <c r="Y40" i="1"/>
  <c r="J40" i="1"/>
  <c r="Y41" i="1"/>
  <c r="J41" i="1"/>
  <c r="J42" i="1"/>
  <c r="J43" i="1"/>
  <c r="J44" i="1"/>
  <c r="Y45" i="1"/>
  <c r="J45" i="1"/>
  <c r="J46" i="1"/>
  <c r="Y47" i="1"/>
  <c r="J47" i="1"/>
  <c r="J48" i="1"/>
  <c r="J49" i="1"/>
  <c r="J50" i="1"/>
  <c r="J51" i="1"/>
  <c r="Y52" i="1"/>
  <c r="J52" i="1"/>
  <c r="Y53" i="1"/>
  <c r="J53" i="1"/>
  <c r="J54" i="1"/>
  <c r="Y56" i="1"/>
  <c r="J56" i="1"/>
  <c r="J57" i="1"/>
  <c r="J58" i="1"/>
  <c r="Y59" i="1"/>
  <c r="J59" i="1"/>
  <c r="J60" i="1"/>
  <c r="J63" i="1"/>
  <c r="Y64" i="1"/>
  <c r="J64" i="1"/>
  <c r="J65" i="1"/>
  <c r="Y66" i="1"/>
  <c r="J66" i="1"/>
  <c r="Y67" i="1"/>
  <c r="J67" i="1"/>
  <c r="J68" i="1"/>
  <c r="Y69" i="1"/>
  <c r="J69" i="1"/>
  <c r="Y70" i="1"/>
  <c r="J70" i="1"/>
  <c r="Y72" i="1"/>
  <c r="J72" i="1"/>
  <c r="Y73" i="1"/>
  <c r="J73" i="1"/>
  <c r="Y74" i="1"/>
  <c r="J74" i="1"/>
  <c r="J75" i="1"/>
  <c r="Y76" i="1"/>
  <c r="J76" i="1"/>
  <c r="Y77" i="1"/>
  <c r="J77" i="1"/>
  <c r="Y78" i="1"/>
  <c r="J78" i="1"/>
  <c r="Y79" i="1"/>
  <c r="J79" i="1"/>
  <c r="Y80" i="1"/>
  <c r="J80" i="1"/>
  <c r="J81" i="1"/>
  <c r="Y83" i="1"/>
  <c r="J83" i="1"/>
  <c r="Y84" i="1"/>
  <c r="J84" i="1"/>
  <c r="Y85" i="1"/>
  <c r="J85" i="1"/>
  <c r="Y86" i="1"/>
  <c r="J86" i="1"/>
  <c r="Y87" i="1"/>
  <c r="J87" i="1"/>
  <c r="J89" i="1"/>
  <c r="Y90" i="1"/>
  <c r="J90" i="1"/>
  <c r="J91" i="1"/>
  <c r="Y92" i="1"/>
  <c r="J92" i="1"/>
  <c r="Y93" i="1"/>
  <c r="J93" i="1"/>
  <c r="Y94" i="1"/>
  <c r="J94" i="1"/>
  <c r="Y95" i="1"/>
  <c r="J95" i="1"/>
  <c r="J96" i="1"/>
  <c r="Y98" i="1"/>
  <c r="J98" i="1"/>
  <c r="Y99" i="1"/>
  <c r="J99" i="1"/>
  <c r="J100" i="1"/>
  <c r="J101" i="1"/>
  <c r="Y103" i="1"/>
  <c r="J103" i="1"/>
  <c r="Y104" i="1"/>
  <c r="J104" i="1"/>
  <c r="Y105" i="1"/>
  <c r="J105" i="1"/>
  <c r="Y106" i="1"/>
  <c r="J106" i="1"/>
  <c r="J107" i="1"/>
  <c r="Y108" i="1"/>
  <c r="J108" i="1"/>
  <c r="J110" i="1"/>
  <c r="J115" i="1"/>
  <c r="J116" i="1"/>
  <c r="J119" i="1"/>
  <c r="Y121" i="1"/>
  <c r="J121" i="1"/>
  <c r="J122" i="1"/>
  <c r="J124" i="1"/>
  <c r="Y125" i="1"/>
  <c r="J125" i="1"/>
  <c r="Y127" i="1"/>
  <c r="J127" i="1"/>
  <c r="J128" i="1"/>
  <c r="Y129" i="1"/>
  <c r="J129" i="1"/>
  <c r="J130" i="1"/>
  <c r="Y131" i="1"/>
  <c r="J131" i="1"/>
  <c r="J132" i="1"/>
  <c r="Y133" i="1"/>
  <c r="J133" i="1"/>
  <c r="Y134" i="1"/>
  <c r="J134" i="1"/>
  <c r="Y135" i="1"/>
  <c r="J135" i="1"/>
  <c r="Y136" i="1"/>
  <c r="J136" i="1"/>
  <c r="Y137" i="1"/>
  <c r="J137" i="1"/>
  <c r="J138" i="1"/>
  <c r="Y139" i="1"/>
  <c r="J139" i="1"/>
  <c r="Y140" i="1"/>
  <c r="J140" i="1"/>
  <c r="J141" i="1"/>
  <c r="Y143" i="1"/>
  <c r="J143" i="1"/>
  <c r="J144" i="1"/>
  <c r="J145" i="1"/>
  <c r="J146" i="1"/>
  <c r="J147" i="1"/>
  <c r="Y150" i="1"/>
  <c r="J150" i="1"/>
  <c r="Y151" i="1"/>
  <c r="J151" i="1"/>
  <c r="J152" i="1"/>
  <c r="J155" i="1"/>
  <c r="Y156" i="1"/>
  <c r="J156" i="1"/>
  <c r="Y157" i="1"/>
  <c r="J157" i="1"/>
  <c r="Y158" i="1"/>
  <c r="J158" i="1"/>
  <c r="J160" i="1"/>
  <c r="J162" i="1"/>
  <c r="J163" i="1"/>
  <c r="J164" i="1"/>
  <c r="J165" i="1"/>
  <c r="J166" i="1"/>
  <c r="J167" i="1"/>
  <c r="J168" i="1"/>
  <c r="Y169" i="1"/>
  <c r="J169" i="1"/>
  <c r="Y171" i="1"/>
  <c r="J171" i="1"/>
  <c r="J172" i="1"/>
  <c r="J173" i="1"/>
  <c r="Y174" i="1"/>
  <c r="J174" i="1"/>
  <c r="J176" i="1"/>
  <c r="J180" i="1"/>
  <c r="J181" i="1"/>
  <c r="J183" i="1"/>
  <c r="J184" i="1"/>
  <c r="Y186" i="1"/>
  <c r="J186" i="1"/>
  <c r="Y187" i="1"/>
  <c r="J187" i="1"/>
  <c r="J188" i="1"/>
  <c r="Y189" i="1"/>
  <c r="J189" i="1"/>
  <c r="J191" i="1"/>
  <c r="J194" i="1"/>
  <c r="J195" i="1"/>
  <c r="Y196" i="1"/>
  <c r="J196" i="1"/>
  <c r="Y197" i="1"/>
  <c r="J197" i="1"/>
  <c r="Y198" i="1"/>
  <c r="J198" i="1"/>
  <c r="Y199" i="1"/>
  <c r="J199" i="1"/>
  <c r="J200" i="1"/>
  <c r="J201" i="1"/>
  <c r="Y202" i="1"/>
  <c r="J202" i="1"/>
  <c r="J203" i="1"/>
  <c r="J204" i="1"/>
  <c r="Y205" i="1"/>
  <c r="J205" i="1"/>
  <c r="J207" i="1"/>
  <c r="Y208" i="1"/>
  <c r="J208" i="1"/>
  <c r="Y209" i="1"/>
  <c r="J209" i="1"/>
  <c r="Y210" i="1"/>
  <c r="J210" i="1"/>
  <c r="Y211" i="1"/>
  <c r="J211" i="1"/>
  <c r="Y212" i="1"/>
  <c r="J212" i="1"/>
  <c r="Y213" i="1"/>
  <c r="J213" i="1"/>
  <c r="J214" i="1"/>
  <c r="Y216" i="1"/>
  <c r="J216" i="1"/>
  <c r="Y218" i="1"/>
  <c r="J218" i="1"/>
  <c r="J219" i="1"/>
  <c r="J220" i="1"/>
  <c r="J221" i="1"/>
  <c r="Y222" i="1"/>
  <c r="J222" i="1"/>
  <c r="Y223" i="1"/>
  <c r="J223" i="1"/>
  <c r="J224" i="1"/>
  <c r="J225" i="1"/>
  <c r="Y226" i="1"/>
  <c r="J226" i="1"/>
  <c r="J228" i="1"/>
  <c r="J229" i="1"/>
  <c r="J230" i="1"/>
  <c r="Y231" i="1"/>
  <c r="J231" i="1"/>
  <c r="Y234" i="1"/>
  <c r="J234" i="1"/>
  <c r="J235" i="1"/>
  <c r="J237" i="1"/>
  <c r="Y238" i="1"/>
  <c r="J238" i="1"/>
  <c r="Y239" i="1"/>
  <c r="J239" i="1"/>
  <c r="J240" i="1"/>
  <c r="Y241" i="1"/>
  <c r="J241" i="1"/>
  <c r="J242" i="1"/>
  <c r="Y244" i="1"/>
  <c r="J244" i="1"/>
  <c r="J245" i="1"/>
  <c r="J246" i="1"/>
  <c r="J247" i="1"/>
  <c r="Y248" i="1"/>
  <c r="J248" i="1"/>
  <c r="J250" i="1"/>
  <c r="Y252" i="1"/>
  <c r="J252" i="1"/>
  <c r="Y253" i="1"/>
  <c r="J253" i="1"/>
  <c r="J254" i="1"/>
  <c r="Y255" i="1"/>
  <c r="J255" i="1"/>
  <c r="J258" i="1"/>
  <c r="Y261" i="1"/>
  <c r="J261" i="1"/>
  <c r="J265" i="1"/>
  <c r="Y267" i="1"/>
  <c r="J267" i="1"/>
  <c r="J268" i="1"/>
  <c r="J269" i="1"/>
  <c r="J270" i="1"/>
  <c r="Y271" i="1"/>
  <c r="J271" i="1"/>
  <c r="Y277" i="1"/>
  <c r="J277" i="1"/>
  <c r="Y278" i="1"/>
  <c r="J278" i="1"/>
  <c r="J279" i="1"/>
  <c r="Y281" i="1"/>
  <c r="J281" i="1"/>
  <c r="Y283" i="1"/>
  <c r="J283" i="1"/>
  <c r="Y284" i="1"/>
  <c r="J284" i="1"/>
  <c r="Y285" i="1"/>
  <c r="J285" i="1"/>
  <c r="Y286" i="1"/>
  <c r="J286" i="1"/>
  <c r="Y287" i="1"/>
  <c r="J287" i="1"/>
  <c r="J288" i="1"/>
  <c r="Y289" i="1"/>
  <c r="J289" i="1"/>
  <c r="Y290" i="1"/>
  <c r="J290" i="1"/>
  <c r="Y2" i="1"/>
  <c r="J2" i="1"/>
  <c r="X3" i="1"/>
  <c r="I3" i="1"/>
  <c r="I16" i="1"/>
  <c r="I18" i="1"/>
  <c r="I19" i="1"/>
  <c r="I21" i="1"/>
  <c r="I22" i="1"/>
  <c r="X23" i="1"/>
  <c r="I23" i="1"/>
  <c r="X26" i="1"/>
  <c r="I26" i="1"/>
  <c r="I28" i="1"/>
  <c r="X36" i="1"/>
  <c r="I36" i="1"/>
  <c r="X37" i="1"/>
  <c r="I37" i="1"/>
  <c r="I38" i="1"/>
  <c r="X40" i="1"/>
  <c r="I40" i="1"/>
  <c r="X41" i="1"/>
  <c r="I41" i="1"/>
  <c r="I42" i="1"/>
  <c r="I43" i="1"/>
  <c r="I44" i="1"/>
  <c r="I46" i="1"/>
  <c r="X47" i="1"/>
  <c r="I47" i="1"/>
  <c r="I48" i="1"/>
  <c r="I49" i="1"/>
  <c r="I50" i="1"/>
  <c r="I51" i="1"/>
  <c r="I52" i="1"/>
  <c r="X53" i="1"/>
  <c r="I53" i="1"/>
  <c r="I54" i="1"/>
  <c r="I55" i="1"/>
  <c r="I56" i="1"/>
  <c r="I57" i="1"/>
  <c r="I58" i="1"/>
  <c r="X59" i="1"/>
  <c r="I59" i="1"/>
  <c r="I60" i="1"/>
  <c r="I63" i="1"/>
  <c r="X64" i="1"/>
  <c r="I64" i="1"/>
  <c r="X66" i="1"/>
  <c r="I66" i="1"/>
  <c r="X67" i="1"/>
  <c r="I67" i="1"/>
  <c r="X69" i="1"/>
  <c r="I69" i="1"/>
  <c r="X70" i="1"/>
  <c r="I70" i="1"/>
  <c r="I72" i="1"/>
  <c r="X73" i="1"/>
  <c r="I73" i="1"/>
  <c r="X74" i="1"/>
  <c r="I74" i="1"/>
  <c r="I75" i="1"/>
  <c r="X76" i="1"/>
  <c r="I76" i="1"/>
  <c r="X77" i="1"/>
  <c r="I77" i="1"/>
  <c r="X78" i="1"/>
  <c r="I78" i="1"/>
  <c r="X79" i="1"/>
  <c r="I79" i="1"/>
  <c r="X80" i="1"/>
  <c r="I80" i="1"/>
  <c r="I81" i="1"/>
  <c r="X83" i="1"/>
  <c r="I83" i="1"/>
  <c r="I84" i="1"/>
  <c r="I85" i="1"/>
  <c r="X86" i="1"/>
  <c r="I86" i="1"/>
  <c r="X87" i="1"/>
  <c r="I87" i="1"/>
  <c r="I89" i="1"/>
  <c r="X90" i="1"/>
  <c r="I90" i="1"/>
  <c r="X91" i="1"/>
  <c r="I91" i="1"/>
  <c r="I93" i="1"/>
  <c r="I97" i="1"/>
  <c r="X98" i="1"/>
  <c r="I98" i="1"/>
  <c r="I100" i="1"/>
  <c r="I101" i="1"/>
  <c r="I104" i="1"/>
  <c r="I105" i="1"/>
  <c r="I107" i="1"/>
  <c r="I110" i="1"/>
  <c r="I113" i="1"/>
  <c r="I115" i="1"/>
  <c r="I116" i="1"/>
  <c r="I119" i="1"/>
  <c r="I121" i="1"/>
  <c r="I122" i="1"/>
  <c r="X127" i="1"/>
  <c r="I127" i="1"/>
  <c r="I128" i="1"/>
  <c r="I129" i="1"/>
  <c r="I130" i="1"/>
  <c r="X131" i="1"/>
  <c r="I131" i="1"/>
  <c r="I133" i="1"/>
  <c r="X134" i="1"/>
  <c r="I134" i="1"/>
  <c r="I136" i="1"/>
  <c r="X137" i="1"/>
  <c r="I137" i="1"/>
  <c r="I138" i="1"/>
  <c r="X139" i="1"/>
  <c r="I139" i="1"/>
  <c r="I140" i="1"/>
  <c r="I141" i="1"/>
  <c r="X143" i="1"/>
  <c r="I143" i="1"/>
  <c r="I144" i="1"/>
  <c r="X150" i="1"/>
  <c r="I150" i="1"/>
  <c r="I151" i="1"/>
  <c r="X152" i="1"/>
  <c r="I152" i="1"/>
  <c r="I153" i="1"/>
  <c r="I155" i="1"/>
  <c r="X156" i="1"/>
  <c r="I156" i="1"/>
  <c r="X157" i="1"/>
  <c r="I157" i="1"/>
  <c r="X158" i="1"/>
  <c r="I158" i="1"/>
  <c r="I160" i="1"/>
  <c r="I163" i="1"/>
  <c r="I164" i="1"/>
  <c r="I165" i="1"/>
  <c r="I166" i="1"/>
  <c r="I168" i="1"/>
  <c r="X169" i="1"/>
  <c r="I169" i="1"/>
  <c r="X171" i="1"/>
  <c r="I171" i="1"/>
  <c r="I172" i="1"/>
  <c r="X173" i="1"/>
  <c r="I173" i="1"/>
  <c r="X174" i="1"/>
  <c r="I174" i="1"/>
  <c r="I176" i="1"/>
  <c r="I180" i="1"/>
  <c r="I181" i="1"/>
  <c r="I183" i="1"/>
  <c r="I184" i="1"/>
  <c r="I186" i="1"/>
  <c r="X187" i="1"/>
  <c r="I187" i="1"/>
  <c r="I189" i="1"/>
  <c r="I191" i="1"/>
  <c r="I193" i="1"/>
  <c r="I194" i="1"/>
  <c r="I195" i="1"/>
  <c r="I196" i="1"/>
  <c r="I197" i="1"/>
  <c r="X198" i="1"/>
  <c r="I198" i="1"/>
  <c r="X199" i="1"/>
  <c r="I199" i="1"/>
  <c r="X202" i="1"/>
  <c r="I202" i="1"/>
  <c r="I203" i="1"/>
  <c r="I204" i="1"/>
  <c r="I205" i="1"/>
  <c r="I208" i="1"/>
  <c r="X209" i="1"/>
  <c r="I209" i="1"/>
  <c r="X210" i="1"/>
  <c r="I210" i="1"/>
  <c r="I211" i="1"/>
  <c r="X212" i="1"/>
  <c r="I212" i="1"/>
  <c r="I221" i="1"/>
  <c r="I235" i="1"/>
  <c r="I242" i="1"/>
  <c r="I244" i="1"/>
  <c r="X246" i="1"/>
  <c r="I246" i="1"/>
  <c r="I247" i="1"/>
  <c r="I248" i="1"/>
  <c r="I250" i="1"/>
  <c r="I251" i="1"/>
  <c r="X252" i="1"/>
  <c r="I252" i="1"/>
  <c r="X253" i="1"/>
  <c r="I253" i="1"/>
  <c r="I254" i="1"/>
  <c r="X255" i="1"/>
  <c r="I255" i="1"/>
  <c r="I258" i="1"/>
  <c r="X261" i="1"/>
  <c r="I261" i="1"/>
  <c r="I265" i="1"/>
  <c r="I267" i="1"/>
  <c r="I269" i="1"/>
  <c r="I270" i="1"/>
  <c r="X271" i="1"/>
  <c r="I271" i="1"/>
  <c r="I272" i="1"/>
  <c r="I273" i="1"/>
  <c r="I274" i="1"/>
  <c r="I275" i="1"/>
  <c r="I276" i="1"/>
  <c r="I277" i="1"/>
  <c r="I278" i="1"/>
  <c r="I279" i="1"/>
  <c r="I281" i="1"/>
  <c r="I283" i="1"/>
  <c r="I284" i="1"/>
  <c r="I287" i="1"/>
  <c r="I290" i="1"/>
  <c r="X2" i="1"/>
  <c r="I2" i="1"/>
  <c r="Z287" i="1"/>
  <c r="AA287" i="1"/>
  <c r="AC287" i="1"/>
  <c r="AD287" i="1"/>
  <c r="AE287" i="1"/>
  <c r="AH287" i="1"/>
  <c r="AI287" i="1"/>
  <c r="AJ287" i="1"/>
  <c r="AL287" i="1"/>
  <c r="AQ287" i="1"/>
  <c r="AA279" i="1"/>
  <c r="AD279" i="1"/>
  <c r="AE279" i="1"/>
  <c r="AL279" i="1"/>
  <c r="Z241" i="1"/>
  <c r="AA241" i="1"/>
  <c r="AC241" i="1"/>
  <c r="AD241" i="1"/>
  <c r="AE241" i="1"/>
  <c r="AH241" i="1"/>
  <c r="AI241" i="1"/>
  <c r="AJ241" i="1"/>
  <c r="AL241" i="1"/>
  <c r="AQ241" i="1"/>
  <c r="AA237" i="1"/>
  <c r="AD237" i="1"/>
  <c r="AE237" i="1"/>
  <c r="AJ237" i="1"/>
  <c r="AL237" i="1"/>
  <c r="AA225" i="1"/>
  <c r="AD225" i="1"/>
  <c r="AE225" i="1"/>
  <c r="AJ225" i="1"/>
  <c r="AL225" i="1"/>
  <c r="Z205" i="1"/>
  <c r="AA205" i="1"/>
  <c r="AD205" i="1"/>
  <c r="AE205" i="1"/>
  <c r="AH205" i="1"/>
  <c r="AJ205" i="1"/>
  <c r="AL205" i="1"/>
  <c r="AA176" i="1"/>
  <c r="AD176" i="1"/>
  <c r="AE176" i="1"/>
  <c r="AL176" i="1"/>
  <c r="AU179" i="1"/>
  <c r="AA180" i="1"/>
  <c r="AD180" i="1"/>
  <c r="AJ180" i="1"/>
  <c r="AL180" i="1"/>
  <c r="AA165" i="1"/>
  <c r="AD165" i="1"/>
  <c r="AE165" i="1"/>
  <c r="AJ165" i="1"/>
  <c r="AL165" i="1"/>
  <c r="AA143" i="1"/>
  <c r="AD143" i="1"/>
  <c r="AE143" i="1"/>
  <c r="AF143" i="1"/>
  <c r="AJ143" i="1"/>
  <c r="AL143" i="1"/>
  <c r="AU143" i="1"/>
  <c r="AA141" i="1"/>
  <c r="AE141" i="1"/>
  <c r="AJ141" i="1"/>
  <c r="AL141" i="1"/>
  <c r="AU141" i="1"/>
  <c r="G5" i="1"/>
  <c r="G6" i="1"/>
  <c r="G8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30" i="1"/>
  <c r="G31" i="1"/>
  <c r="G33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8" i="1"/>
  <c r="G90" i="1"/>
  <c r="G91" i="1"/>
  <c r="G92" i="1"/>
  <c r="G93" i="1"/>
  <c r="G94" i="1"/>
  <c r="G95" i="1"/>
  <c r="G96" i="1"/>
  <c r="G97" i="1"/>
  <c r="G98" i="1"/>
  <c r="G99" i="1"/>
  <c r="G100" i="1"/>
  <c r="G101" i="1"/>
  <c r="G103" i="1"/>
  <c r="G104" i="1"/>
  <c r="G105" i="1"/>
  <c r="G106" i="1"/>
  <c r="G108" i="1"/>
  <c r="G109" i="1"/>
  <c r="G110" i="1"/>
  <c r="G111" i="1"/>
  <c r="G112" i="1"/>
  <c r="G113" i="1"/>
  <c r="G114" i="1"/>
  <c r="G116" i="1"/>
  <c r="G117" i="1"/>
  <c r="G119" i="1"/>
  <c r="G120" i="1"/>
  <c r="G121" i="1"/>
  <c r="G122" i="1"/>
  <c r="G123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2" i="1"/>
  <c r="G144" i="1"/>
  <c r="G145" i="1"/>
  <c r="G146" i="1"/>
  <c r="G147" i="1"/>
  <c r="G148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6" i="1"/>
  <c r="G167" i="1"/>
  <c r="G168" i="1"/>
  <c r="G169" i="1"/>
  <c r="G170" i="1"/>
  <c r="G171" i="1"/>
  <c r="G172" i="1"/>
  <c r="G173" i="1"/>
  <c r="G174" i="1"/>
  <c r="G175" i="1"/>
  <c r="G181" i="1"/>
  <c r="G182" i="1"/>
  <c r="G183" i="1"/>
  <c r="G184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2" i="1"/>
  <c r="G203" i="1"/>
  <c r="G204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6" i="1"/>
  <c r="G227" i="1"/>
  <c r="G228" i="1"/>
  <c r="G229" i="1"/>
  <c r="G230" i="1"/>
  <c r="G231" i="1"/>
  <c r="G233" i="1"/>
  <c r="G234" i="1"/>
  <c r="G235" i="1"/>
  <c r="G238" i="1"/>
  <c r="G239" i="1"/>
  <c r="G240" i="1"/>
  <c r="G242" i="1"/>
  <c r="G243" i="1"/>
  <c r="G244" i="1"/>
  <c r="G245" i="1"/>
  <c r="G246" i="1"/>
  <c r="G247" i="1"/>
  <c r="G248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4" i="1"/>
  <c r="G265" i="1"/>
  <c r="G266" i="1"/>
  <c r="G267" i="1"/>
  <c r="G268" i="1"/>
  <c r="G269" i="1"/>
  <c r="G270" i="1"/>
  <c r="G271" i="1"/>
  <c r="G272" i="1"/>
  <c r="G273" i="1"/>
  <c r="G275" i="1"/>
  <c r="G276" i="1"/>
  <c r="G277" i="1"/>
  <c r="G278" i="1"/>
  <c r="G280" i="1"/>
  <c r="G281" i="1"/>
  <c r="G282" i="1"/>
  <c r="G283" i="1"/>
  <c r="G284" i="1"/>
  <c r="G285" i="1"/>
  <c r="G286" i="1"/>
  <c r="G288" i="1"/>
  <c r="G289" i="1"/>
  <c r="G290" i="1"/>
  <c r="G2" i="1"/>
  <c r="AU290" i="1"/>
  <c r="AU286" i="1"/>
  <c r="AU284" i="1"/>
  <c r="AU276" i="1"/>
  <c r="AU273" i="1"/>
  <c r="AW272" i="1"/>
  <c r="AV272" i="1"/>
  <c r="AU272" i="1"/>
  <c r="AU271" i="1"/>
  <c r="AU269" i="1"/>
  <c r="AU261" i="1"/>
  <c r="AU253" i="1"/>
  <c r="AU251" i="1"/>
  <c r="AU250" i="1"/>
  <c r="AU246" i="1"/>
  <c r="AU234" i="1"/>
  <c r="AU226" i="1"/>
  <c r="AU210" i="1"/>
  <c r="AU200" i="1"/>
  <c r="AU198" i="1"/>
  <c r="AW191" i="1"/>
  <c r="AV191" i="1"/>
  <c r="AU175" i="1"/>
  <c r="AU166" i="1"/>
  <c r="AU164" i="1"/>
  <c r="AW153" i="1"/>
  <c r="AU150" i="1"/>
  <c r="AU142" i="1"/>
  <c r="AU137" i="1"/>
  <c r="AU135" i="1"/>
  <c r="AW113" i="1"/>
  <c r="AV113" i="1"/>
  <c r="AU51" i="1"/>
  <c r="AU50" i="1"/>
  <c r="AU36" i="1"/>
  <c r="AU26" i="1"/>
  <c r="AU11" i="1"/>
  <c r="AU9" i="1"/>
  <c r="AU8" i="1"/>
  <c r="AU7" i="1"/>
  <c r="AU6" i="1"/>
  <c r="AU5" i="1"/>
  <c r="AQ288" i="1"/>
  <c r="AQ286" i="1"/>
  <c r="AQ285" i="1"/>
  <c r="AQ284" i="1"/>
  <c r="AQ283" i="1"/>
  <c r="AQ282" i="1"/>
  <c r="AQ277" i="1"/>
  <c r="AO277" i="1"/>
  <c r="AQ271" i="1"/>
  <c r="AQ270" i="1"/>
  <c r="AQ269" i="1"/>
  <c r="AQ268" i="1"/>
  <c r="AQ266" i="1"/>
  <c r="AQ256" i="1"/>
  <c r="AQ254" i="1"/>
  <c r="AQ253" i="1"/>
  <c r="AQ252" i="1"/>
  <c r="AQ251" i="1"/>
  <c r="AQ246" i="1"/>
  <c r="AQ245" i="1"/>
  <c r="AQ231" i="1"/>
  <c r="AQ228" i="1"/>
  <c r="AQ226" i="1"/>
  <c r="AQ223" i="1"/>
  <c r="AQ222" i="1"/>
  <c r="AQ220" i="1"/>
  <c r="AQ219" i="1"/>
  <c r="AQ216" i="1"/>
  <c r="AQ210" i="1"/>
  <c r="AQ208" i="1"/>
  <c r="AQ206" i="1"/>
  <c r="AQ204" i="1"/>
  <c r="AQ198" i="1"/>
  <c r="AQ197" i="1"/>
  <c r="AQ196" i="1"/>
  <c r="AQ189" i="1"/>
  <c r="AQ188" i="1"/>
  <c r="AQ186" i="1"/>
  <c r="AQ183" i="1"/>
  <c r="AQ172" i="1"/>
  <c r="AQ163" i="1"/>
  <c r="AQ162" i="1"/>
  <c r="AQ158" i="1"/>
  <c r="AQ156" i="1"/>
  <c r="AQ155" i="1"/>
  <c r="AQ154" i="1"/>
  <c r="AQ151" i="1"/>
  <c r="AQ150" i="1"/>
  <c r="AQ140" i="1"/>
  <c r="AQ137" i="1"/>
  <c r="AQ133" i="1"/>
  <c r="AQ131" i="1"/>
  <c r="AQ130" i="1"/>
  <c r="AQ127" i="1"/>
  <c r="AQ125" i="1"/>
  <c r="AQ122" i="1"/>
  <c r="AQ121" i="1"/>
  <c r="AQ108" i="1"/>
  <c r="AQ105" i="1"/>
  <c r="AQ99" i="1"/>
  <c r="AQ98" i="1"/>
  <c r="AQ96" i="1"/>
  <c r="AQ95" i="1"/>
  <c r="AQ94" i="1"/>
  <c r="AQ93" i="1"/>
  <c r="AQ92" i="1"/>
  <c r="AQ91" i="1"/>
  <c r="AQ90" i="1"/>
  <c r="AQ85" i="1"/>
  <c r="AQ80" i="1"/>
  <c r="AQ79" i="1"/>
  <c r="AQ78" i="1"/>
  <c r="AQ77" i="1"/>
  <c r="AQ76" i="1"/>
  <c r="AQ75" i="1"/>
  <c r="AQ74" i="1"/>
  <c r="AQ73" i="1"/>
  <c r="AQ70" i="1"/>
  <c r="AQ67" i="1"/>
  <c r="AQ66" i="1"/>
  <c r="AQ65" i="1"/>
  <c r="AQ64" i="1"/>
  <c r="AQ63" i="1"/>
  <c r="AQ59" i="1"/>
  <c r="AQ56" i="1"/>
  <c r="AQ51" i="1"/>
  <c r="AQ43" i="1"/>
  <c r="AQ32" i="1"/>
  <c r="AQ29" i="1"/>
  <c r="AQ26" i="1"/>
  <c r="AQ25" i="1"/>
  <c r="AQ23" i="1"/>
  <c r="AQ20" i="1"/>
  <c r="AQ17" i="1"/>
  <c r="AQ15" i="1"/>
  <c r="AQ14" i="1"/>
  <c r="AQ12" i="1"/>
  <c r="AQ11" i="1"/>
  <c r="AQ10" i="1"/>
  <c r="AQ8" i="1"/>
  <c r="AQ6" i="1"/>
  <c r="AQ5" i="1"/>
  <c r="AQ4" i="1"/>
  <c r="AO3" i="1"/>
  <c r="AA290" i="1"/>
  <c r="AB290" i="1"/>
  <c r="AC290" i="1"/>
  <c r="AD290" i="1"/>
  <c r="AL290" i="1"/>
  <c r="AJ290" i="1"/>
  <c r="AE290" i="1"/>
  <c r="AA289" i="1"/>
  <c r="AC289" i="1"/>
  <c r="AD289" i="1"/>
  <c r="AK289" i="1"/>
  <c r="AL289" i="1"/>
  <c r="AJ289" i="1"/>
  <c r="AI289" i="1"/>
  <c r="AH289" i="1"/>
  <c r="AE289" i="1"/>
  <c r="AA288" i="1"/>
  <c r="AD288" i="1"/>
  <c r="AL288" i="1"/>
  <c r="AJ288" i="1"/>
  <c r="AE288" i="1"/>
  <c r="AA286" i="1"/>
  <c r="AC286" i="1"/>
  <c r="AD286" i="1"/>
  <c r="AL286" i="1"/>
  <c r="AJ286" i="1"/>
  <c r="AI286" i="1"/>
  <c r="AH286" i="1"/>
  <c r="AE286" i="1"/>
  <c r="Z285" i="1"/>
  <c r="AA285" i="1"/>
  <c r="AL285" i="1"/>
  <c r="AJ285" i="1"/>
  <c r="AE285" i="1"/>
  <c r="AA284" i="1"/>
  <c r="AC284" i="1"/>
  <c r="AD284" i="1"/>
  <c r="AL284" i="1"/>
  <c r="AJ284" i="1"/>
  <c r="AE284" i="1"/>
  <c r="Z283" i="1"/>
  <c r="AA283" i="1"/>
  <c r="AC283" i="1"/>
  <c r="AD283" i="1"/>
  <c r="AL283" i="1"/>
  <c r="AJ283" i="1"/>
  <c r="AI283" i="1"/>
  <c r="AH283" i="1"/>
  <c r="AE283" i="1"/>
  <c r="Z281" i="1"/>
  <c r="AA281" i="1"/>
  <c r="AC281" i="1"/>
  <c r="AD281" i="1"/>
  <c r="AL281" i="1"/>
  <c r="AJ281" i="1"/>
  <c r="AI281" i="1"/>
  <c r="AH281" i="1"/>
  <c r="AE281" i="1"/>
  <c r="Z278" i="1"/>
  <c r="AA278" i="1"/>
  <c r="AC278" i="1"/>
  <c r="AD278" i="1"/>
  <c r="AL278" i="1"/>
  <c r="AJ278" i="1"/>
  <c r="AI278" i="1"/>
  <c r="AH278" i="1"/>
  <c r="AE278" i="1"/>
  <c r="Z277" i="1"/>
  <c r="AA277" i="1"/>
  <c r="AD277" i="1"/>
  <c r="AL277" i="1"/>
  <c r="AJ277" i="1"/>
  <c r="AH277" i="1"/>
  <c r="AE277" i="1"/>
  <c r="AA276" i="1"/>
  <c r="AD276" i="1"/>
  <c r="AL276" i="1"/>
  <c r="AJ276" i="1"/>
  <c r="AE276" i="1"/>
  <c r="AA275" i="1"/>
  <c r="AD275" i="1"/>
  <c r="AL275" i="1"/>
  <c r="AJ275" i="1"/>
  <c r="AE275" i="1"/>
  <c r="AL273" i="1"/>
  <c r="AA272" i="1"/>
  <c r="AD272" i="1"/>
  <c r="AL272" i="1"/>
  <c r="AJ272" i="1"/>
  <c r="AE272" i="1"/>
  <c r="AA271" i="1"/>
  <c r="AC271" i="1"/>
  <c r="AD271" i="1"/>
  <c r="AL271" i="1"/>
  <c r="AJ271" i="1"/>
  <c r="AE271" i="1"/>
  <c r="AA270" i="1"/>
  <c r="AD270" i="1"/>
  <c r="AL270" i="1"/>
  <c r="AJ270" i="1"/>
  <c r="AE270" i="1"/>
  <c r="AA269" i="1"/>
  <c r="AD269" i="1"/>
  <c r="AL269" i="1"/>
  <c r="AJ269" i="1"/>
  <c r="AE269" i="1"/>
  <c r="AA268" i="1"/>
  <c r="AD268" i="1"/>
  <c r="AL268" i="1"/>
  <c r="AJ268" i="1"/>
  <c r="AE268" i="1"/>
  <c r="AA267" i="1"/>
  <c r="AC267" i="1"/>
  <c r="AD267" i="1"/>
  <c r="AL267" i="1"/>
  <c r="AJ267" i="1"/>
  <c r="AI267" i="1"/>
  <c r="AH267" i="1"/>
  <c r="AE267" i="1"/>
  <c r="AA265" i="1"/>
  <c r="AD265" i="1"/>
  <c r="AL265" i="1"/>
  <c r="AJ265" i="1"/>
  <c r="AE265" i="1"/>
  <c r="AA261" i="1"/>
  <c r="AD261" i="1"/>
  <c r="AL261" i="1"/>
  <c r="AE261" i="1"/>
  <c r="AA258" i="1"/>
  <c r="AD258" i="1"/>
  <c r="AL258" i="1"/>
  <c r="AJ258" i="1"/>
  <c r="AE258" i="1"/>
  <c r="AA255" i="1"/>
  <c r="AB255" i="1"/>
  <c r="AD255" i="1"/>
  <c r="AF255" i="1"/>
  <c r="AL255" i="1"/>
  <c r="AJ255" i="1"/>
  <c r="AE255" i="1"/>
  <c r="AA254" i="1"/>
  <c r="AD254" i="1"/>
  <c r="AE254" i="1"/>
  <c r="AL254" i="1"/>
  <c r="AJ254" i="1"/>
  <c r="AA253" i="1"/>
  <c r="AB253" i="1"/>
  <c r="AC253" i="1"/>
  <c r="AD253" i="1"/>
  <c r="AE253" i="1"/>
  <c r="AF253" i="1"/>
  <c r="AL253" i="1"/>
  <c r="AJ253" i="1"/>
  <c r="AA252" i="1"/>
  <c r="AC252" i="1"/>
  <c r="AD252" i="1"/>
  <c r="AL252" i="1"/>
  <c r="AE252" i="1"/>
  <c r="AL251" i="1"/>
  <c r="AJ251" i="1"/>
  <c r="AE251" i="1"/>
  <c r="AA250" i="1"/>
  <c r="AD250" i="1"/>
  <c r="AL250" i="1"/>
  <c r="AJ250" i="1"/>
  <c r="AE250" i="1"/>
  <c r="AA248" i="1"/>
  <c r="AB248" i="1"/>
  <c r="AD248" i="1"/>
  <c r="AL248" i="1"/>
  <c r="AE248" i="1"/>
  <c r="AA247" i="1"/>
  <c r="AD247" i="1"/>
  <c r="AL247" i="1"/>
  <c r="AJ247" i="1"/>
  <c r="AE247" i="1"/>
  <c r="AA246" i="1"/>
  <c r="AD246" i="1"/>
  <c r="AF246" i="1"/>
  <c r="AL246" i="1"/>
  <c r="AJ246" i="1"/>
  <c r="AE246" i="1"/>
  <c r="AA245" i="1"/>
  <c r="AD245" i="1"/>
  <c r="AE245" i="1"/>
  <c r="AL245" i="1"/>
  <c r="AA244" i="1"/>
  <c r="AD244" i="1"/>
  <c r="AE244" i="1"/>
  <c r="AL244" i="1"/>
  <c r="AJ244" i="1"/>
  <c r="AA242" i="1"/>
  <c r="AD242" i="1"/>
  <c r="AL242" i="1"/>
  <c r="AJ242" i="1"/>
  <c r="AE242" i="1"/>
  <c r="AA240" i="1"/>
  <c r="AD240" i="1"/>
  <c r="AL240" i="1"/>
  <c r="AJ240" i="1"/>
  <c r="AE240" i="1"/>
  <c r="AA239" i="1"/>
  <c r="AC239" i="1"/>
  <c r="AD239" i="1"/>
  <c r="AL239" i="1"/>
  <c r="AJ239" i="1"/>
  <c r="AH239" i="1"/>
  <c r="AE239" i="1"/>
  <c r="AA238" i="1"/>
  <c r="AC238" i="1"/>
  <c r="AD238" i="1"/>
  <c r="AK238" i="1"/>
  <c r="AL238" i="1"/>
  <c r="AJ238" i="1"/>
  <c r="AI238" i="1"/>
  <c r="AH238" i="1"/>
  <c r="AE238" i="1"/>
  <c r="AA235" i="1"/>
  <c r="AD235" i="1"/>
  <c r="AL235" i="1"/>
  <c r="AJ235" i="1"/>
  <c r="AE235" i="1"/>
  <c r="AA234" i="1"/>
  <c r="AC234" i="1"/>
  <c r="AD234" i="1"/>
  <c r="AK234" i="1"/>
  <c r="AL234" i="1"/>
  <c r="AJ234" i="1"/>
  <c r="AE234" i="1"/>
  <c r="AA231" i="1"/>
  <c r="AD231" i="1"/>
  <c r="AL231" i="1"/>
  <c r="AJ231" i="1"/>
  <c r="AE231" i="1"/>
  <c r="AL230" i="1"/>
  <c r="AA229" i="1"/>
  <c r="AD229" i="1"/>
  <c r="AL229" i="1"/>
  <c r="AJ229" i="1"/>
  <c r="AE229" i="1"/>
  <c r="AA228" i="1"/>
  <c r="AC228" i="1"/>
  <c r="AD228" i="1"/>
  <c r="AL228" i="1"/>
  <c r="AJ228" i="1"/>
  <c r="AI228" i="1"/>
  <c r="AH228" i="1"/>
  <c r="AE228" i="1"/>
  <c r="Z226" i="1"/>
  <c r="AA226" i="1"/>
  <c r="AC226" i="1"/>
  <c r="AD226" i="1"/>
  <c r="AL226" i="1"/>
  <c r="AJ226" i="1"/>
  <c r="AI226" i="1"/>
  <c r="AH226" i="1"/>
  <c r="AE226" i="1"/>
  <c r="AA224" i="1"/>
  <c r="AD224" i="1"/>
  <c r="AL224" i="1"/>
  <c r="AJ224" i="1"/>
  <c r="AE224" i="1"/>
  <c r="Z223" i="1"/>
  <c r="AA223" i="1"/>
  <c r="AC223" i="1"/>
  <c r="AD223" i="1"/>
  <c r="AK223" i="1"/>
  <c r="AL223" i="1"/>
  <c r="AJ223" i="1"/>
  <c r="AI223" i="1"/>
  <c r="AH223" i="1"/>
  <c r="AE223" i="1"/>
  <c r="Z222" i="1"/>
  <c r="AA222" i="1"/>
  <c r="AC222" i="1"/>
  <c r="AD222" i="1"/>
  <c r="AL222" i="1"/>
  <c r="AJ222" i="1"/>
  <c r="AI222" i="1"/>
  <c r="AH222" i="1"/>
  <c r="AE222" i="1"/>
  <c r="AD221" i="1"/>
  <c r="AL221" i="1"/>
  <c r="AJ221" i="1"/>
  <c r="AE221" i="1"/>
  <c r="AA220" i="1"/>
  <c r="AD220" i="1"/>
  <c r="AL220" i="1"/>
  <c r="AJ220" i="1"/>
  <c r="AE220" i="1"/>
  <c r="AA219" i="1"/>
  <c r="AD219" i="1"/>
  <c r="AL219" i="1"/>
  <c r="AJ219" i="1"/>
  <c r="AE219" i="1"/>
  <c r="Z218" i="1"/>
  <c r="AA218" i="1"/>
  <c r="AD218" i="1"/>
  <c r="AL218" i="1"/>
  <c r="AJ218" i="1"/>
  <c r="AE218" i="1"/>
  <c r="Z216" i="1"/>
  <c r="AA216" i="1"/>
  <c r="AC216" i="1"/>
  <c r="AD216" i="1"/>
  <c r="AL216" i="1"/>
  <c r="AJ216" i="1"/>
  <c r="AI216" i="1"/>
  <c r="AH216" i="1"/>
  <c r="AE216" i="1"/>
  <c r="AA214" i="1"/>
  <c r="AD214" i="1"/>
  <c r="AL214" i="1"/>
  <c r="AJ214" i="1"/>
  <c r="AE214" i="1"/>
  <c r="AA213" i="1"/>
  <c r="AC213" i="1"/>
  <c r="AD213" i="1"/>
  <c r="AL213" i="1"/>
  <c r="AJ213" i="1"/>
  <c r="AE213" i="1"/>
  <c r="AC212" i="1"/>
  <c r="AJ212" i="1"/>
  <c r="AL212" i="1"/>
  <c r="AI212" i="1"/>
  <c r="AH212" i="1"/>
  <c r="AA212" i="1"/>
  <c r="AD212" i="1"/>
  <c r="AE212" i="1"/>
  <c r="AJ211" i="1"/>
  <c r="AL211" i="1"/>
  <c r="AA211" i="1"/>
  <c r="AD211" i="1"/>
  <c r="AE211" i="1"/>
  <c r="AC210" i="1"/>
  <c r="AJ210" i="1"/>
  <c r="AL210" i="1"/>
  <c r="AI210" i="1"/>
  <c r="AH210" i="1"/>
  <c r="AA210" i="1"/>
  <c r="AD210" i="1"/>
  <c r="AE210" i="1"/>
  <c r="AC209" i="1"/>
  <c r="AJ209" i="1"/>
  <c r="AL209" i="1"/>
  <c r="AA209" i="1"/>
  <c r="AD209" i="1"/>
  <c r="AE209" i="1"/>
  <c r="Z208" i="1"/>
  <c r="AA208" i="1"/>
  <c r="AC208" i="1"/>
  <c r="AD208" i="1"/>
  <c r="AL208" i="1"/>
  <c r="AJ208" i="1"/>
  <c r="AE208" i="1"/>
  <c r="AA207" i="1"/>
  <c r="AD207" i="1"/>
  <c r="AL207" i="1"/>
  <c r="AJ207" i="1"/>
  <c r="AA204" i="1"/>
  <c r="AD204" i="1"/>
  <c r="AL204" i="1"/>
  <c r="AE204" i="1"/>
  <c r="AA203" i="1"/>
  <c r="AD203" i="1"/>
  <c r="AL203" i="1"/>
  <c r="AJ203" i="1"/>
  <c r="AE203" i="1"/>
  <c r="Z202" i="1"/>
  <c r="AA202" i="1"/>
  <c r="AL202" i="1"/>
  <c r="AJ202" i="1"/>
  <c r="AE202" i="1"/>
  <c r="AC202" i="1"/>
  <c r="AA200" i="1"/>
  <c r="AD200" i="1"/>
  <c r="AL200" i="1"/>
  <c r="AJ200" i="1"/>
  <c r="AE200" i="1"/>
  <c r="Z199" i="1"/>
  <c r="AA199" i="1"/>
  <c r="AC199" i="1"/>
  <c r="AD199" i="1"/>
  <c r="AF199" i="1"/>
  <c r="AL199" i="1"/>
  <c r="AJ199" i="1"/>
  <c r="AE199" i="1"/>
  <c r="Z198" i="1"/>
  <c r="AA198" i="1"/>
  <c r="AC198" i="1"/>
  <c r="AD198" i="1"/>
  <c r="AL198" i="1"/>
  <c r="AJ198" i="1"/>
  <c r="AE198" i="1"/>
  <c r="Z197" i="1"/>
  <c r="AA197" i="1"/>
  <c r="AC197" i="1"/>
  <c r="AD197" i="1"/>
  <c r="AL197" i="1"/>
  <c r="AJ197" i="1"/>
  <c r="AE197" i="1"/>
  <c r="AA196" i="1"/>
  <c r="AC196" i="1"/>
  <c r="AD196" i="1"/>
  <c r="AL196" i="1"/>
  <c r="AJ196" i="1"/>
  <c r="AE196" i="1"/>
  <c r="AA195" i="1"/>
  <c r="AD195" i="1"/>
  <c r="AL195" i="1"/>
  <c r="AJ195" i="1"/>
  <c r="AE195" i="1"/>
  <c r="AA194" i="1"/>
  <c r="AD194" i="1"/>
  <c r="AL194" i="1"/>
  <c r="AJ194" i="1"/>
  <c r="AE194" i="1"/>
  <c r="AA193" i="1"/>
  <c r="AD193" i="1"/>
  <c r="AL193" i="1"/>
  <c r="AJ193" i="1"/>
  <c r="AE193" i="1"/>
  <c r="AA191" i="1"/>
  <c r="AD191" i="1"/>
  <c r="AL191" i="1"/>
  <c r="AJ191" i="1"/>
  <c r="AE191" i="1"/>
  <c r="AA189" i="1"/>
  <c r="AC189" i="1"/>
  <c r="AD189" i="1"/>
  <c r="AL189" i="1"/>
  <c r="AJ189" i="1"/>
  <c r="AE189" i="1"/>
  <c r="AA188" i="1"/>
  <c r="AD188" i="1"/>
  <c r="AL188" i="1"/>
  <c r="AJ188" i="1"/>
  <c r="AE188" i="1"/>
  <c r="AA187" i="1"/>
  <c r="AC187" i="1"/>
  <c r="AD187" i="1"/>
  <c r="AL187" i="1"/>
  <c r="AJ187" i="1"/>
  <c r="AE187" i="1"/>
  <c r="Z186" i="1"/>
  <c r="AA186" i="1"/>
  <c r="AC186" i="1"/>
  <c r="AD186" i="1"/>
  <c r="AL186" i="1"/>
  <c r="AJ186" i="1"/>
  <c r="AI186" i="1"/>
  <c r="AH186" i="1"/>
  <c r="AE186" i="1"/>
  <c r="AA184" i="1"/>
  <c r="AD184" i="1"/>
  <c r="AL184" i="1"/>
  <c r="AJ184" i="1"/>
  <c r="AE184" i="1"/>
  <c r="AA183" i="1"/>
  <c r="AD183" i="1"/>
  <c r="AL183" i="1"/>
  <c r="AJ183" i="1"/>
  <c r="AE183" i="1"/>
  <c r="AJ181" i="1"/>
  <c r="AL181" i="1"/>
  <c r="AA175" i="1"/>
  <c r="AA174" i="1"/>
  <c r="AD174" i="1"/>
  <c r="AE174" i="1"/>
  <c r="AF174" i="1"/>
  <c r="AL174" i="1"/>
  <c r="AJ174" i="1"/>
  <c r="AA173" i="1"/>
  <c r="AD173" i="1"/>
  <c r="AJ173" i="1"/>
  <c r="AL173" i="1"/>
  <c r="AE173" i="1"/>
  <c r="AJ172" i="1"/>
  <c r="AL172" i="1"/>
  <c r="AA172" i="1"/>
  <c r="AD172" i="1"/>
  <c r="AE172" i="1"/>
  <c r="AA171" i="1"/>
  <c r="AC171" i="1"/>
  <c r="AD171" i="1"/>
  <c r="AL171" i="1"/>
  <c r="AJ171" i="1"/>
  <c r="AI171" i="1"/>
  <c r="AH171" i="1"/>
  <c r="AE171" i="1"/>
  <c r="Z169" i="1"/>
  <c r="AA169" i="1"/>
  <c r="AC169" i="1"/>
  <c r="AD169" i="1"/>
  <c r="AK169" i="1"/>
  <c r="AL169" i="1"/>
  <c r="AJ169" i="1"/>
  <c r="AE169" i="1"/>
  <c r="AA168" i="1"/>
  <c r="AD168" i="1"/>
  <c r="AJ168" i="1"/>
  <c r="AL168" i="1"/>
  <c r="AE168" i="1"/>
  <c r="AA167" i="1"/>
  <c r="AD167" i="1"/>
  <c r="AJ167" i="1"/>
  <c r="AL167" i="1"/>
  <c r="AE167" i="1"/>
  <c r="AA166" i="1"/>
  <c r="AC166" i="1"/>
  <c r="AD166" i="1"/>
  <c r="AJ166" i="1"/>
  <c r="AL166" i="1"/>
  <c r="AE166" i="1"/>
  <c r="AA164" i="1"/>
  <c r="AJ164" i="1"/>
  <c r="AL164" i="1"/>
  <c r="AE164" i="1"/>
  <c r="AA163" i="1"/>
  <c r="AD163" i="1"/>
  <c r="AL163" i="1"/>
  <c r="AJ163" i="1"/>
  <c r="AE163" i="1"/>
  <c r="AA162" i="1"/>
  <c r="AD162" i="1"/>
  <c r="AL162" i="1"/>
  <c r="AJ162" i="1"/>
  <c r="AE162" i="1"/>
  <c r="AA160" i="1"/>
  <c r="AD160" i="1"/>
  <c r="AL160" i="1"/>
  <c r="AJ160" i="1"/>
  <c r="AE160" i="1"/>
  <c r="Z158" i="1"/>
  <c r="AA158" i="1"/>
  <c r="AC158" i="1"/>
  <c r="AD158" i="1"/>
  <c r="AL158" i="1"/>
  <c r="AJ158" i="1"/>
  <c r="AI158" i="1"/>
  <c r="AH158" i="1"/>
  <c r="AE158" i="1"/>
  <c r="Z157" i="1"/>
  <c r="AA157" i="1"/>
  <c r="AC157" i="1"/>
  <c r="AD157" i="1"/>
  <c r="AK157" i="1"/>
  <c r="AL157" i="1"/>
  <c r="AJ157" i="1"/>
  <c r="AE157" i="1"/>
  <c r="AA156" i="1"/>
  <c r="AC156" i="1"/>
  <c r="AD156" i="1"/>
  <c r="AL156" i="1"/>
  <c r="AJ156" i="1"/>
  <c r="AE156" i="1"/>
  <c r="AA155" i="1"/>
  <c r="AD155" i="1"/>
  <c r="AL155" i="1"/>
  <c r="AJ155" i="1"/>
  <c r="AA153" i="1"/>
  <c r="AD153" i="1"/>
  <c r="AL153" i="1"/>
  <c r="AJ153" i="1"/>
  <c r="AE153" i="1"/>
  <c r="AA152" i="1"/>
  <c r="AD152" i="1"/>
  <c r="AL152" i="1"/>
  <c r="AJ152" i="1"/>
  <c r="AE152" i="1"/>
  <c r="Z151" i="1"/>
  <c r="AA151" i="1"/>
  <c r="AC151" i="1"/>
  <c r="AD151" i="1"/>
  <c r="AL151" i="1"/>
  <c r="AJ151" i="1"/>
  <c r="Z150" i="1"/>
  <c r="AA150" i="1"/>
  <c r="AC150" i="1"/>
  <c r="AD150" i="1"/>
  <c r="AL150" i="1"/>
  <c r="AJ150" i="1"/>
  <c r="AH150" i="1"/>
  <c r="AE150" i="1"/>
  <c r="AA147" i="1"/>
  <c r="AD147" i="1"/>
  <c r="AL147" i="1"/>
  <c r="AJ147" i="1"/>
  <c r="AE147" i="1"/>
  <c r="AA146" i="1"/>
  <c r="AD146" i="1"/>
  <c r="AL146" i="1"/>
  <c r="AJ146" i="1"/>
  <c r="AA145" i="1"/>
  <c r="AD145" i="1"/>
  <c r="AL145" i="1"/>
  <c r="AJ145" i="1"/>
  <c r="AE145" i="1"/>
  <c r="AL144" i="1"/>
  <c r="AJ144" i="1"/>
  <c r="AD144" i="1"/>
  <c r="AA144" i="1"/>
  <c r="AA140" i="1"/>
  <c r="AC140" i="1"/>
  <c r="AD140" i="1"/>
  <c r="AL140" i="1"/>
  <c r="AJ140" i="1"/>
  <c r="AE140" i="1"/>
  <c r="Z139" i="1"/>
  <c r="AA139" i="1"/>
  <c r="AC139" i="1"/>
  <c r="AD139" i="1"/>
  <c r="AK139" i="1"/>
  <c r="AL139" i="1"/>
  <c r="AJ139" i="1"/>
  <c r="AI139" i="1"/>
  <c r="AH139" i="1"/>
  <c r="AE139" i="1"/>
  <c r="AA138" i="1"/>
  <c r="AD138" i="1"/>
  <c r="AL138" i="1"/>
  <c r="AJ138" i="1"/>
  <c r="AE138" i="1"/>
  <c r="Z137" i="1"/>
  <c r="AA137" i="1"/>
  <c r="AC137" i="1"/>
  <c r="AD137" i="1"/>
  <c r="AL137" i="1"/>
  <c r="AJ137" i="1"/>
  <c r="AH137" i="1"/>
  <c r="AE137" i="1"/>
  <c r="AA136" i="1"/>
  <c r="AC136" i="1"/>
  <c r="AD136" i="1"/>
  <c r="AL136" i="1"/>
  <c r="AJ136" i="1"/>
  <c r="AH136" i="1"/>
  <c r="AE136" i="1"/>
  <c r="AA135" i="1"/>
  <c r="AC135" i="1"/>
  <c r="AD135" i="1"/>
  <c r="AL135" i="1"/>
  <c r="AJ135" i="1"/>
  <c r="AI135" i="1"/>
  <c r="AH135" i="1"/>
  <c r="AE135" i="1"/>
  <c r="AA134" i="1"/>
  <c r="AC134" i="1"/>
  <c r="AD134" i="1"/>
  <c r="AL134" i="1"/>
  <c r="AJ134" i="1"/>
  <c r="AE134" i="1"/>
  <c r="AA133" i="1"/>
  <c r="AC133" i="1"/>
  <c r="AD133" i="1"/>
  <c r="AL133" i="1"/>
  <c r="AJ133" i="1"/>
  <c r="AE133" i="1"/>
  <c r="AA132" i="1"/>
  <c r="AD132" i="1"/>
  <c r="AL132" i="1"/>
  <c r="AJ132" i="1"/>
  <c r="AE132" i="1"/>
  <c r="AA131" i="1"/>
  <c r="AC131" i="1"/>
  <c r="AD131" i="1"/>
  <c r="AL131" i="1"/>
  <c r="AJ131" i="1"/>
  <c r="AE131" i="1"/>
  <c r="AA130" i="1"/>
  <c r="AD130" i="1"/>
  <c r="AL130" i="1"/>
  <c r="AJ130" i="1"/>
  <c r="AE130" i="1"/>
  <c r="AA129" i="1"/>
  <c r="AC129" i="1"/>
  <c r="AD129" i="1"/>
  <c r="AL129" i="1"/>
  <c r="AJ129" i="1"/>
  <c r="AH129" i="1"/>
  <c r="AE129" i="1"/>
  <c r="AA128" i="1"/>
  <c r="AD128" i="1"/>
  <c r="AL128" i="1"/>
  <c r="AJ128" i="1"/>
  <c r="AE128" i="1"/>
  <c r="AA127" i="1"/>
  <c r="AC127" i="1"/>
  <c r="AD127" i="1"/>
  <c r="AL127" i="1"/>
  <c r="AJ127" i="1"/>
  <c r="AE127" i="1"/>
  <c r="AA125" i="1"/>
  <c r="AC125" i="1"/>
  <c r="AD125" i="1"/>
  <c r="AL125" i="1"/>
  <c r="AJ125" i="1"/>
  <c r="AI125" i="1"/>
  <c r="AH125" i="1"/>
  <c r="AE125" i="1"/>
  <c r="AA124" i="1"/>
  <c r="AD124" i="1"/>
  <c r="AL124" i="1"/>
  <c r="AE124" i="1"/>
  <c r="AA122" i="1"/>
  <c r="AL122" i="1"/>
  <c r="AE122" i="1"/>
  <c r="AA121" i="1"/>
  <c r="AD121" i="1"/>
  <c r="AL121" i="1"/>
  <c r="AJ121" i="1"/>
  <c r="AE121" i="1"/>
  <c r="AA119" i="1"/>
  <c r="AL119" i="1"/>
  <c r="AJ119" i="1"/>
  <c r="AE119" i="1"/>
  <c r="AA116" i="1"/>
  <c r="AD116" i="1"/>
  <c r="AL116" i="1"/>
  <c r="AJ116" i="1"/>
  <c r="AE116" i="1"/>
  <c r="AA115" i="1"/>
  <c r="AD115" i="1"/>
  <c r="AL115" i="1"/>
  <c r="AJ115" i="1"/>
  <c r="AE115" i="1"/>
  <c r="AA113" i="1"/>
  <c r="AD113" i="1"/>
  <c r="AL113" i="1"/>
  <c r="AJ113" i="1"/>
  <c r="AE113" i="1"/>
  <c r="AA110" i="1"/>
  <c r="AD110" i="1"/>
  <c r="AL110" i="1"/>
  <c r="AJ110" i="1"/>
  <c r="AE110" i="1"/>
  <c r="AA108" i="1"/>
  <c r="AC108" i="1"/>
  <c r="AD108" i="1"/>
  <c r="AL108" i="1"/>
  <c r="AJ108" i="1"/>
  <c r="AI108" i="1"/>
  <c r="AH108" i="1"/>
  <c r="AE108" i="1"/>
  <c r="AA107" i="1"/>
  <c r="AD107" i="1"/>
  <c r="AL107" i="1"/>
  <c r="AJ107" i="1"/>
  <c r="AE107" i="1"/>
  <c r="AA106" i="1"/>
  <c r="AB106" i="1"/>
  <c r="AC106" i="1"/>
  <c r="AD106" i="1"/>
  <c r="AL106" i="1"/>
  <c r="AJ106" i="1"/>
  <c r="AI106" i="1"/>
  <c r="AH106" i="1"/>
  <c r="AE106" i="1"/>
  <c r="AA105" i="1"/>
  <c r="AB105" i="1"/>
  <c r="AC105" i="1"/>
  <c r="AD105" i="1"/>
  <c r="AL105" i="1"/>
  <c r="AJ105" i="1"/>
  <c r="AH105" i="1"/>
  <c r="AE105" i="1"/>
  <c r="Z104" i="1"/>
  <c r="AA104" i="1"/>
  <c r="AC104" i="1"/>
  <c r="AD104" i="1"/>
  <c r="AL104" i="1"/>
  <c r="AJ104" i="1"/>
  <c r="AE104" i="1"/>
  <c r="AA103" i="1"/>
  <c r="AC103" i="1"/>
  <c r="AD103" i="1"/>
  <c r="AK103" i="1"/>
  <c r="AL103" i="1"/>
  <c r="AJ103" i="1"/>
  <c r="AI103" i="1"/>
  <c r="AH103" i="1"/>
  <c r="AE103" i="1"/>
  <c r="AA101" i="1"/>
  <c r="AD101" i="1"/>
  <c r="AL101" i="1"/>
  <c r="AJ101" i="1"/>
  <c r="AE101" i="1"/>
  <c r="AA100" i="1"/>
  <c r="AD100" i="1"/>
  <c r="AL100" i="1"/>
  <c r="AJ100" i="1"/>
  <c r="AE100" i="1"/>
  <c r="Z99" i="1"/>
  <c r="AA99" i="1"/>
  <c r="AB99" i="1"/>
  <c r="AC99" i="1"/>
  <c r="AD99" i="1"/>
  <c r="AL99" i="1"/>
  <c r="AJ99" i="1"/>
  <c r="AI99" i="1"/>
  <c r="AH99" i="1"/>
  <c r="AE99" i="1"/>
  <c r="Z98" i="1"/>
  <c r="AA98" i="1"/>
  <c r="AC98" i="1"/>
  <c r="AD98" i="1"/>
  <c r="AF98" i="1"/>
  <c r="AL98" i="1"/>
  <c r="AJ98" i="1"/>
  <c r="AE98" i="1"/>
  <c r="AA97" i="1"/>
  <c r="AD97" i="1"/>
  <c r="AL97" i="1"/>
  <c r="AJ97" i="1"/>
  <c r="AE97" i="1"/>
  <c r="AA96" i="1"/>
  <c r="AD96" i="1"/>
  <c r="AL96" i="1"/>
  <c r="AJ96" i="1"/>
  <c r="AE96" i="1"/>
  <c r="Z95" i="1"/>
  <c r="AA95" i="1"/>
  <c r="AC95" i="1"/>
  <c r="AD95" i="1"/>
  <c r="AK95" i="1"/>
  <c r="AL95" i="1"/>
  <c r="AJ95" i="1"/>
  <c r="AI95" i="1"/>
  <c r="AH95" i="1"/>
  <c r="AE95" i="1"/>
  <c r="AA94" i="1"/>
  <c r="AC94" i="1"/>
  <c r="AD94" i="1"/>
  <c r="AL94" i="1"/>
  <c r="AJ94" i="1"/>
  <c r="AE94" i="1"/>
  <c r="Z94" i="1"/>
  <c r="Z93" i="1"/>
  <c r="AA93" i="1"/>
  <c r="AC93" i="1"/>
  <c r="AD93" i="1"/>
  <c r="AK93" i="1"/>
  <c r="AL93" i="1"/>
  <c r="AJ93" i="1"/>
  <c r="AI93" i="1"/>
  <c r="AH93" i="1"/>
  <c r="AE93" i="1"/>
  <c r="Z92" i="1"/>
  <c r="AA92" i="1"/>
  <c r="AC92" i="1"/>
  <c r="AD92" i="1"/>
  <c r="AL92" i="1"/>
  <c r="AJ92" i="1"/>
  <c r="AI92" i="1"/>
  <c r="AH92" i="1"/>
  <c r="AE92" i="1"/>
  <c r="AA91" i="1"/>
  <c r="AD91" i="1"/>
  <c r="AL91" i="1"/>
  <c r="AJ91" i="1"/>
  <c r="AE91" i="1"/>
  <c r="Z90" i="1"/>
  <c r="AA90" i="1"/>
  <c r="AC90" i="1"/>
  <c r="AD90" i="1"/>
  <c r="AF90" i="1"/>
  <c r="AL90" i="1"/>
  <c r="AJ90" i="1"/>
  <c r="AE90" i="1"/>
  <c r="AA89" i="1"/>
  <c r="AD89" i="1"/>
  <c r="AL89" i="1"/>
  <c r="AJ89" i="1"/>
  <c r="AE89" i="1"/>
  <c r="Z87" i="1"/>
  <c r="AA87" i="1"/>
  <c r="AC87" i="1"/>
  <c r="AD87" i="1"/>
  <c r="AL87" i="1"/>
  <c r="AJ87" i="1"/>
  <c r="AH87" i="1"/>
  <c r="AE87" i="1"/>
  <c r="Z86" i="1"/>
  <c r="AA86" i="1"/>
  <c r="AC86" i="1"/>
  <c r="AD86" i="1"/>
  <c r="AL86" i="1"/>
  <c r="AJ86" i="1"/>
  <c r="AH86" i="1"/>
  <c r="AE86" i="1"/>
  <c r="Z85" i="1"/>
  <c r="AA85" i="1"/>
  <c r="AC85" i="1"/>
  <c r="AD85" i="1"/>
  <c r="AL85" i="1"/>
  <c r="AJ85" i="1"/>
  <c r="AE85" i="1"/>
  <c r="Z84" i="1"/>
  <c r="AA84" i="1"/>
  <c r="AC84" i="1"/>
  <c r="AD84" i="1"/>
  <c r="AL84" i="1"/>
  <c r="AJ84" i="1"/>
  <c r="AE84" i="1"/>
  <c r="AA83" i="1"/>
  <c r="AL83" i="1"/>
  <c r="AJ83" i="1"/>
  <c r="AH83" i="1"/>
  <c r="AE83" i="1"/>
  <c r="AA81" i="1"/>
  <c r="AD81" i="1"/>
  <c r="AL81" i="1"/>
  <c r="AJ81" i="1"/>
  <c r="AE81" i="1"/>
  <c r="Z80" i="1"/>
  <c r="AA80" i="1"/>
  <c r="AC80" i="1"/>
  <c r="AD80" i="1"/>
  <c r="AF80" i="1"/>
  <c r="AK80" i="1"/>
  <c r="AL80" i="1"/>
  <c r="AJ80" i="1"/>
  <c r="AE80" i="1"/>
  <c r="Z79" i="1"/>
  <c r="AA79" i="1"/>
  <c r="AC79" i="1"/>
  <c r="AD79" i="1"/>
  <c r="AL79" i="1"/>
  <c r="AJ79" i="1"/>
  <c r="AE79" i="1"/>
  <c r="AA78" i="1"/>
  <c r="AD78" i="1"/>
  <c r="AL78" i="1"/>
  <c r="AJ78" i="1"/>
  <c r="AE78" i="1"/>
  <c r="Z77" i="1"/>
  <c r="AA77" i="1"/>
  <c r="AC77" i="1"/>
  <c r="AD77" i="1"/>
  <c r="AL77" i="1"/>
  <c r="AJ77" i="1"/>
  <c r="AE77" i="1"/>
  <c r="AA76" i="1"/>
  <c r="AC76" i="1"/>
  <c r="AD76" i="1"/>
  <c r="AK76" i="1"/>
  <c r="AL76" i="1"/>
  <c r="AJ76" i="1"/>
  <c r="AE76" i="1"/>
  <c r="AA75" i="1"/>
  <c r="AD75" i="1"/>
  <c r="AL75" i="1"/>
  <c r="AJ75" i="1"/>
  <c r="AE75" i="1"/>
  <c r="Z74" i="1"/>
  <c r="AA74" i="1"/>
  <c r="AC74" i="1"/>
  <c r="AD74" i="1"/>
  <c r="AF74" i="1"/>
  <c r="AL74" i="1"/>
  <c r="AJ74" i="1"/>
  <c r="AE74" i="1"/>
  <c r="Z73" i="1"/>
  <c r="AA73" i="1"/>
  <c r="AC73" i="1"/>
  <c r="AD73" i="1"/>
  <c r="AK73" i="1"/>
  <c r="AL73" i="1"/>
  <c r="AJ73" i="1"/>
  <c r="AE73" i="1"/>
  <c r="Z72" i="1"/>
  <c r="AA72" i="1"/>
  <c r="AC72" i="1"/>
  <c r="AD72" i="1"/>
  <c r="AK72" i="1"/>
  <c r="AL72" i="1"/>
  <c r="AJ72" i="1"/>
  <c r="AE72" i="1"/>
  <c r="Z70" i="1"/>
  <c r="AA70" i="1"/>
  <c r="AC70" i="1"/>
  <c r="AD70" i="1"/>
  <c r="AL70" i="1"/>
  <c r="AJ70" i="1"/>
  <c r="AE70" i="1"/>
  <c r="Z69" i="1"/>
  <c r="AA69" i="1"/>
  <c r="AC69" i="1"/>
  <c r="AD69" i="1"/>
  <c r="AL69" i="1"/>
  <c r="AJ69" i="1"/>
  <c r="AE69" i="1"/>
  <c r="AA68" i="1"/>
  <c r="AD68" i="1"/>
  <c r="AL68" i="1"/>
  <c r="AE68" i="1"/>
  <c r="AA67" i="1"/>
  <c r="AC67" i="1"/>
  <c r="AD67" i="1"/>
  <c r="AK67" i="1"/>
  <c r="AL67" i="1"/>
  <c r="AJ67" i="1"/>
  <c r="AE67" i="1"/>
  <c r="Z66" i="1"/>
  <c r="AA66" i="1"/>
  <c r="AC66" i="1"/>
  <c r="AD66" i="1"/>
  <c r="AF66" i="1"/>
  <c r="AL66" i="1"/>
  <c r="AJ66" i="1"/>
  <c r="AE66" i="1"/>
  <c r="AA65" i="1"/>
  <c r="AL65" i="1"/>
  <c r="Z64" i="1"/>
  <c r="AA64" i="1"/>
  <c r="AC64" i="1"/>
  <c r="AD64" i="1"/>
  <c r="AF64" i="1"/>
  <c r="AJ64" i="1"/>
  <c r="AL64" i="1"/>
  <c r="AH64" i="1"/>
  <c r="AE64" i="1"/>
  <c r="AA63" i="1"/>
  <c r="AD63" i="1"/>
  <c r="AL63" i="1"/>
  <c r="AJ63" i="1"/>
  <c r="AE63" i="1"/>
  <c r="AA62" i="1"/>
  <c r="AA60" i="1"/>
  <c r="AD60" i="1"/>
  <c r="AL60" i="1"/>
  <c r="AJ60" i="1"/>
  <c r="AE60" i="1"/>
  <c r="AA59" i="1"/>
  <c r="AD59" i="1"/>
  <c r="AL59" i="1"/>
  <c r="AJ59" i="1"/>
  <c r="AE59" i="1"/>
  <c r="AA58" i="1"/>
  <c r="AD58" i="1"/>
  <c r="AL58" i="1"/>
  <c r="AJ58" i="1"/>
  <c r="AE58" i="1"/>
  <c r="AA57" i="1"/>
  <c r="AL57" i="1"/>
  <c r="AJ57" i="1"/>
  <c r="AA56" i="1"/>
  <c r="AD56" i="1"/>
  <c r="AL56" i="1"/>
  <c r="AJ56" i="1"/>
  <c r="AE56" i="1"/>
  <c r="AL55" i="1"/>
  <c r="AA54" i="1"/>
  <c r="AL54" i="1"/>
  <c r="AJ54" i="1"/>
  <c r="AA53" i="1"/>
  <c r="AE53" i="1"/>
  <c r="AF53" i="1"/>
  <c r="AL53" i="1"/>
  <c r="AA52" i="1"/>
  <c r="AC52" i="1"/>
  <c r="AD52" i="1"/>
  <c r="AE52" i="1"/>
  <c r="AF52" i="1"/>
  <c r="AL52" i="1"/>
  <c r="AL51" i="1"/>
  <c r="AJ51" i="1"/>
  <c r="AA51" i="1"/>
  <c r="AA50" i="1"/>
  <c r="AE50" i="1"/>
  <c r="AL50" i="1"/>
  <c r="AA49" i="1"/>
  <c r="AD49" i="1"/>
  <c r="AL49" i="1"/>
  <c r="AE49" i="1"/>
  <c r="AJ48" i="1"/>
  <c r="AL48" i="1"/>
  <c r="AA48" i="1"/>
  <c r="AE48" i="1"/>
  <c r="AF47" i="1"/>
  <c r="AL47" i="1"/>
  <c r="AA47" i="1"/>
  <c r="AE47" i="1"/>
  <c r="AA46" i="1"/>
  <c r="AL46" i="1"/>
  <c r="AJ46" i="1"/>
  <c r="AE46" i="1"/>
  <c r="AA45" i="1"/>
  <c r="AC45" i="1"/>
  <c r="AD45" i="1"/>
  <c r="AL45" i="1"/>
  <c r="AJ45" i="1"/>
  <c r="AE45" i="1"/>
  <c r="AA44" i="1"/>
  <c r="AD44" i="1"/>
  <c r="AL44" i="1"/>
  <c r="AJ44" i="1"/>
  <c r="AE44" i="1"/>
  <c r="AA43" i="1"/>
  <c r="AL43" i="1"/>
  <c r="AJ43" i="1"/>
  <c r="AE43" i="1"/>
  <c r="AA42" i="1"/>
  <c r="AD42" i="1"/>
  <c r="AL42" i="1"/>
  <c r="AJ42" i="1"/>
  <c r="AE42" i="1"/>
  <c r="AA41" i="1"/>
  <c r="AD41" i="1"/>
  <c r="AL41" i="1"/>
  <c r="AJ41" i="1"/>
  <c r="AH41" i="1"/>
  <c r="AE41" i="1"/>
  <c r="AA40" i="1"/>
  <c r="AD40" i="1"/>
  <c r="AL40" i="1"/>
  <c r="AJ40" i="1"/>
  <c r="AE40" i="1"/>
  <c r="AA38" i="1"/>
  <c r="AD38" i="1"/>
  <c r="AL38" i="1"/>
  <c r="AJ38" i="1"/>
  <c r="AE38" i="1"/>
  <c r="Z37" i="1"/>
  <c r="AA37" i="1"/>
  <c r="AC37" i="1"/>
  <c r="AD37" i="1"/>
  <c r="AL37" i="1"/>
  <c r="AJ37" i="1"/>
  <c r="AE37" i="1"/>
  <c r="Z36" i="1"/>
  <c r="AA36" i="1"/>
  <c r="AC36" i="1"/>
  <c r="AD36" i="1"/>
  <c r="AL36" i="1"/>
  <c r="AJ36" i="1"/>
  <c r="AE36" i="1"/>
  <c r="AA34" i="1"/>
  <c r="AC34" i="1"/>
  <c r="AD34" i="1"/>
  <c r="AL34" i="1"/>
  <c r="AJ34" i="1"/>
  <c r="AI34" i="1"/>
  <c r="AH34" i="1"/>
  <c r="AE34" i="1"/>
  <c r="AA33" i="1"/>
  <c r="AC33" i="1"/>
  <c r="AD33" i="1"/>
  <c r="AL33" i="1"/>
  <c r="AJ33" i="1"/>
  <c r="AI33" i="1"/>
  <c r="AH33" i="1"/>
  <c r="AE33" i="1"/>
  <c r="AL32" i="1"/>
  <c r="AJ32" i="1"/>
  <c r="AD31" i="1"/>
  <c r="AL31" i="1"/>
  <c r="AJ31" i="1"/>
  <c r="AE31" i="1"/>
  <c r="AL30" i="1"/>
  <c r="AJ30" i="1"/>
  <c r="AE30" i="1"/>
  <c r="AA28" i="1"/>
  <c r="AD28" i="1"/>
  <c r="AL28" i="1"/>
  <c r="AJ28" i="1"/>
  <c r="AE28" i="1"/>
  <c r="AA27" i="1"/>
  <c r="AL27" i="1"/>
  <c r="AJ27" i="1"/>
  <c r="AE27" i="1"/>
  <c r="AA26" i="1"/>
  <c r="AC26" i="1"/>
  <c r="AD26" i="1"/>
  <c r="AK26" i="1"/>
  <c r="AL26" i="1"/>
  <c r="AJ26" i="1"/>
  <c r="AE26" i="1"/>
  <c r="AA24" i="1"/>
  <c r="AC24" i="1"/>
  <c r="AD24" i="1"/>
  <c r="AL24" i="1"/>
  <c r="AJ24" i="1"/>
  <c r="AE24" i="1"/>
  <c r="AA23" i="1"/>
  <c r="AC23" i="1"/>
  <c r="AD23" i="1"/>
  <c r="AK23" i="1"/>
  <c r="AL23" i="1"/>
  <c r="AJ23" i="1"/>
  <c r="AH23" i="1"/>
  <c r="AE23" i="1"/>
  <c r="AA22" i="1"/>
  <c r="AL22" i="1"/>
  <c r="AE22" i="1"/>
  <c r="AA21" i="1"/>
  <c r="AD21" i="1"/>
  <c r="AL21" i="1"/>
  <c r="AJ21" i="1"/>
  <c r="AE21" i="1"/>
  <c r="AA20" i="1"/>
  <c r="AL20" i="1"/>
  <c r="AJ20" i="1"/>
  <c r="AE20" i="1"/>
  <c r="AA19" i="1"/>
  <c r="AL19" i="1"/>
  <c r="AJ19" i="1"/>
  <c r="AE19" i="1"/>
  <c r="AA18" i="1"/>
  <c r="AL18" i="1"/>
  <c r="AJ18" i="1"/>
  <c r="AE18" i="1"/>
  <c r="AA16" i="1"/>
  <c r="AD16" i="1"/>
  <c r="AL16" i="1"/>
  <c r="AJ16" i="1"/>
  <c r="AE16" i="1"/>
  <c r="AA15" i="1"/>
  <c r="AD15" i="1"/>
  <c r="AL15" i="1"/>
  <c r="AJ15" i="1"/>
  <c r="AE15" i="1"/>
  <c r="AA14" i="1"/>
  <c r="AC14" i="1"/>
  <c r="AD14" i="1"/>
  <c r="AK14" i="1"/>
  <c r="AL14" i="1"/>
  <c r="AJ14" i="1"/>
  <c r="AE14" i="1"/>
  <c r="AA12" i="1"/>
  <c r="AD12" i="1"/>
  <c r="AL12" i="1"/>
  <c r="AJ12" i="1"/>
  <c r="AE12" i="1"/>
  <c r="AA11" i="1"/>
  <c r="AC11" i="1"/>
  <c r="AD11" i="1"/>
  <c r="AK11" i="1"/>
  <c r="AL11" i="1"/>
  <c r="AJ11" i="1"/>
  <c r="AE11" i="1"/>
  <c r="AA10" i="1"/>
  <c r="AC10" i="1"/>
  <c r="AD10" i="1"/>
  <c r="AK10" i="1"/>
  <c r="AL10" i="1"/>
  <c r="AJ10" i="1"/>
  <c r="AI10" i="1"/>
  <c r="AH10" i="1"/>
  <c r="AE10" i="1"/>
  <c r="Z9" i="1"/>
  <c r="AA9" i="1"/>
  <c r="AC9" i="1"/>
  <c r="AD9" i="1"/>
  <c r="AK9" i="1"/>
  <c r="AL9" i="1"/>
  <c r="AJ9" i="1"/>
  <c r="AI9" i="1"/>
  <c r="AH9" i="1"/>
  <c r="AE9" i="1"/>
  <c r="AA8" i="1"/>
  <c r="AC8" i="1"/>
  <c r="AD8" i="1"/>
  <c r="AK8" i="1"/>
  <c r="AL8" i="1"/>
  <c r="AJ8" i="1"/>
  <c r="AI8" i="1"/>
  <c r="AH8" i="1"/>
  <c r="AE8" i="1"/>
  <c r="AA7" i="1"/>
  <c r="AC7" i="1"/>
  <c r="AD7" i="1"/>
  <c r="AK7" i="1"/>
  <c r="AL7" i="1"/>
  <c r="AJ7" i="1"/>
  <c r="AI7" i="1"/>
  <c r="AH7" i="1"/>
  <c r="AE7" i="1"/>
  <c r="AA6" i="1"/>
  <c r="AC6" i="1"/>
  <c r="AD6" i="1"/>
  <c r="AK6" i="1"/>
  <c r="AL6" i="1"/>
  <c r="AJ6" i="1"/>
  <c r="AI6" i="1"/>
  <c r="AH6" i="1"/>
  <c r="AE6" i="1"/>
  <c r="AA5" i="1"/>
  <c r="AC5" i="1"/>
  <c r="AD5" i="1"/>
  <c r="AL5" i="1"/>
  <c r="AJ5" i="1"/>
  <c r="AI5" i="1"/>
  <c r="AH5" i="1"/>
  <c r="AE5" i="1"/>
  <c r="AA3" i="1"/>
  <c r="AC3" i="1"/>
  <c r="AD3" i="1"/>
  <c r="AF3" i="1"/>
  <c r="AL3" i="1"/>
  <c r="AE3" i="1"/>
  <c r="AA2" i="1"/>
  <c r="AC2" i="1"/>
  <c r="AD2" i="1"/>
  <c r="AF2" i="1"/>
  <c r="AK2" i="1"/>
  <c r="AL2" i="1"/>
  <c r="AJ2" i="1"/>
  <c r="AE2" i="1"/>
</calcChain>
</file>

<file path=xl/sharedStrings.xml><?xml version="1.0" encoding="utf-8"?>
<sst xmlns="http://schemas.openxmlformats.org/spreadsheetml/2006/main" count="3806" uniqueCount="1444">
  <si>
    <t>Species Name</t>
  </si>
  <si>
    <t>Allenopithecus_nigroviridis</t>
  </si>
  <si>
    <t>Allocebus_trichotis</t>
  </si>
  <si>
    <t>Alouatta_arctoidea</t>
  </si>
  <si>
    <t>Alouatta_belzebul</t>
  </si>
  <si>
    <t>Alouatta_caraya</t>
  </si>
  <si>
    <t>Alouatta_discolor</t>
  </si>
  <si>
    <t>Alouatta_guariba</t>
  </si>
  <si>
    <t>Alouatta_juara</t>
  </si>
  <si>
    <t>Alouatta_macconnelli</t>
  </si>
  <si>
    <t>Alouatta_palliata</t>
  </si>
  <si>
    <t>Alouatta_pigra</t>
  </si>
  <si>
    <t>Alouatta_sara</t>
  </si>
  <si>
    <t>Alouatta_seniculus</t>
  </si>
  <si>
    <t>Aotus_azarae</t>
  </si>
  <si>
    <t>Aotus_miconax</t>
  </si>
  <si>
    <t>Aotus_nancymae</t>
  </si>
  <si>
    <t>Aotus_nigriceps</t>
  </si>
  <si>
    <t>Aotus_trivirgatus</t>
  </si>
  <si>
    <t>Aotus_vociferans</t>
  </si>
  <si>
    <t>Arctocebus_aureus</t>
  </si>
  <si>
    <t>Arctocebus_calabarensis</t>
  </si>
  <si>
    <t>Ateles_belzebuth</t>
  </si>
  <si>
    <t>Ateles_chamek</t>
  </si>
  <si>
    <t>Ateles_fusciceps</t>
  </si>
  <si>
    <t>Ateles_geoffroyi</t>
  </si>
  <si>
    <t>Ateles_hybridus</t>
  </si>
  <si>
    <t>Ateles_paniscus</t>
  </si>
  <si>
    <t>Avahi_cleesei</t>
  </si>
  <si>
    <t>Avahi_laniger</t>
  </si>
  <si>
    <t>Avahi_occidentalis</t>
  </si>
  <si>
    <t>Avahi_peyrierasi</t>
  </si>
  <si>
    <t>Brachyteles_arachnoides</t>
  </si>
  <si>
    <t>Brachyteles_hypoxanthus</t>
  </si>
  <si>
    <t>Cacajao_ayresi</t>
  </si>
  <si>
    <t>Cacajao_calvus</t>
  </si>
  <si>
    <t>Cacajao_melanocephalus</t>
  </si>
  <si>
    <t>Callicebus_brunneus</t>
  </si>
  <si>
    <t>Callicebus_caligatus</t>
  </si>
  <si>
    <t>Callicebus_cupreus</t>
  </si>
  <si>
    <t>Callicebus_discolor</t>
  </si>
  <si>
    <t>Callicebus_lugens</t>
  </si>
  <si>
    <t>Callicebus_moloch</t>
  </si>
  <si>
    <t>Callicebus_oenanthe</t>
  </si>
  <si>
    <t>Callicebus_personatus</t>
  </si>
  <si>
    <t>Callicebus_torquatus</t>
  </si>
  <si>
    <t>Callimico_goeldii</t>
  </si>
  <si>
    <t>Callithrix_aurita</t>
  </si>
  <si>
    <t>Callithrix_flaviceps</t>
  </si>
  <si>
    <t>Callithrix_geoffroyi</t>
  </si>
  <si>
    <t>Callithrix_jacchus</t>
  </si>
  <si>
    <t>Callithrix_kuhlii</t>
  </si>
  <si>
    <t>Callithrix_penicillata</t>
  </si>
  <si>
    <t>Cebuella_pygmaea</t>
  </si>
  <si>
    <t>Cebus_albifrons</t>
  </si>
  <si>
    <t>Cebus_apella</t>
  </si>
  <si>
    <t>Cebus_capucinus</t>
  </si>
  <si>
    <t>Cebus_libidinosus</t>
  </si>
  <si>
    <t>Cebus_nigritus</t>
  </si>
  <si>
    <t>Cebus_olivaceus</t>
  </si>
  <si>
    <t>Cebus_xanthosternos</t>
  </si>
  <si>
    <t>Cercocebus_agilis</t>
  </si>
  <si>
    <t>Cercocebus_atys</t>
  </si>
  <si>
    <t>Cercocebus_galeritus</t>
  </si>
  <si>
    <t>Cercocebus_torquatus</t>
  </si>
  <si>
    <t>Cercopithecus_ascanius</t>
  </si>
  <si>
    <t>Cercopithecus_campbelli</t>
  </si>
  <si>
    <t>Cercopithecus_campbelli_lowei</t>
    <phoneticPr fontId="0" type="noConversion"/>
  </si>
  <si>
    <t>Cercopithecus_cephus</t>
  </si>
  <si>
    <t>Cercopithecus_diana</t>
  </si>
  <si>
    <t>Cercopithecus_erythrogaster</t>
  </si>
  <si>
    <t>Cercopithecus_hamlyni</t>
  </si>
  <si>
    <t>Cercopithecus_lhoesti</t>
  </si>
  <si>
    <t>Cercopithecus_mitis</t>
  </si>
  <si>
    <t>Cercopithecus_mona</t>
  </si>
  <si>
    <t>Cercopithecus_neglectus</t>
  </si>
  <si>
    <t>Cercopithecus_nictitans</t>
  </si>
  <si>
    <t>Cercopithecus_petaurista</t>
  </si>
  <si>
    <t>Cercopithecus_pogonias</t>
  </si>
  <si>
    <t>Cercopithecus_pogonias_wolfi</t>
    <phoneticPr fontId="0" type="noConversion"/>
  </si>
  <si>
    <t>Cercopithecus_preussi</t>
  </si>
  <si>
    <t>Cheirogaleus_major</t>
  </si>
  <si>
    <t>Cheirogaleus_medius</t>
  </si>
  <si>
    <t>Chiropotes_albinasus</t>
  </si>
  <si>
    <t>Chiropotes_chiropotes</t>
  </si>
  <si>
    <t>Chiropotes_satanas</t>
  </si>
  <si>
    <t>Chiropotes_utahickae</t>
  </si>
  <si>
    <t>Chlorocebus_aethiops</t>
  </si>
  <si>
    <t>Chlorocebus_djamdjamensis</t>
  </si>
  <si>
    <t>Chlorocebus_pygerythrus</t>
  </si>
  <si>
    <t>Chlorocebus_sabaeus</t>
  </si>
  <si>
    <t>Colobus_angolensis</t>
  </si>
  <si>
    <t>Colobus_guereza</t>
  </si>
  <si>
    <t>Colobus_polykomos</t>
  </si>
  <si>
    <t>Colobus_satanas</t>
  </si>
  <si>
    <t>Colobus_vellerosus</t>
  </si>
  <si>
    <t>Daubentonia_madagascariensis</t>
  </si>
  <si>
    <t>Erythrocebus_patas</t>
  </si>
  <si>
    <t>Eulemur_albifrons</t>
  </si>
  <si>
    <t>Eulemur_collaris</t>
  </si>
  <si>
    <t>Eulemur_coronatus</t>
  </si>
  <si>
    <t>Eulemur_fulvus</t>
  </si>
  <si>
    <t>Eulemur_macaco</t>
  </si>
  <si>
    <t>Eulemur_mongoz</t>
  </si>
  <si>
    <t>Eulemur_rubriventer</t>
  </si>
  <si>
    <t>Eulemur_rufifrons</t>
  </si>
  <si>
    <t>Eulemur_rufus</t>
  </si>
  <si>
    <t>Euoticus_elegantulus</t>
    <phoneticPr fontId="0" type="noConversion"/>
  </si>
  <si>
    <t>Euoticus_pallidus</t>
  </si>
  <si>
    <t>Galago_gallarum</t>
  </si>
  <si>
    <t>Galago_moholi</t>
    <phoneticPr fontId="0" type="noConversion"/>
  </si>
  <si>
    <t>Galago_senegalensis</t>
    <phoneticPr fontId="0" type="noConversion"/>
  </si>
  <si>
    <t>Galagoides_cocos</t>
  </si>
  <si>
    <t>Galagoides_demidovii</t>
    <phoneticPr fontId="0" type="noConversion"/>
  </si>
  <si>
    <t>Galagoides_thomasi</t>
    <phoneticPr fontId="0" type="noConversion"/>
  </si>
  <si>
    <t>Galagoides_zanzibaricus</t>
    <phoneticPr fontId="0" type="noConversion"/>
  </si>
  <si>
    <t>Gorilla_beringei</t>
  </si>
  <si>
    <t>Gorilla_gorilla</t>
  </si>
  <si>
    <t>Hapalemur_alaotrensis</t>
  </si>
  <si>
    <t>Hapalemur_aureus</t>
  </si>
  <si>
    <t>Hapalemur_griseus</t>
  </si>
  <si>
    <t>Hapalemur_occidentalis</t>
  </si>
  <si>
    <t>Hoolock_hoolock</t>
  </si>
  <si>
    <t>Hylobates_agilis</t>
  </si>
  <si>
    <t>Hylobates_albibarbis</t>
  </si>
  <si>
    <t>Hylobates_klossii</t>
  </si>
  <si>
    <t>Hylobates_lar</t>
  </si>
  <si>
    <t>Hylobates_moloch</t>
  </si>
  <si>
    <t>Hylobates_muelleri</t>
  </si>
  <si>
    <t>Hylobates_pileatus</t>
  </si>
  <si>
    <t>Indri_indri</t>
  </si>
  <si>
    <t>Lagothrix_cana</t>
  </si>
  <si>
    <t>Lagothrix_lagotricha</t>
  </si>
  <si>
    <t>Lagothrix_lugens</t>
  </si>
  <si>
    <t>Lagothrix_poeppigii</t>
  </si>
  <si>
    <t>Lemur_catta</t>
  </si>
  <si>
    <t>Leontopithecus_caissara</t>
  </si>
  <si>
    <t>Leontopithecus_chrysomelas</t>
  </si>
  <si>
    <t>Leontopithecus_chrysopygus</t>
  </si>
  <si>
    <t>Leontopithecus_rosalia</t>
  </si>
  <si>
    <t>Lepilemur_edwardsi</t>
  </si>
  <si>
    <t>Lepilemur_leucopus</t>
  </si>
  <si>
    <t>Lepilemur_mustelinus</t>
  </si>
  <si>
    <t>Lepilemur_ruficaudatus</t>
  </si>
  <si>
    <t>Lophocebus_albigena</t>
  </si>
  <si>
    <t>Lophocebus_aterrimus</t>
  </si>
  <si>
    <t>Loris_lydekkerianus</t>
  </si>
  <si>
    <t>Loris_tardigradus</t>
  </si>
  <si>
    <t>Macaca_arctoides</t>
  </si>
  <si>
    <t>Macaca_assamensis</t>
  </si>
  <si>
    <t>Macaca_cyclopis</t>
  </si>
  <si>
    <t>Macaca_fascicularis</t>
  </si>
  <si>
    <t>Macaca_fuscata</t>
  </si>
  <si>
    <t>Macaca_hecki</t>
  </si>
  <si>
    <t>Macaca_leonina</t>
  </si>
  <si>
    <t>Macaca_maura</t>
  </si>
  <si>
    <t>Macaca_mulatta</t>
  </si>
  <si>
    <t>Macaca_nemestrina</t>
  </si>
  <si>
    <t>Macaca_nigra</t>
  </si>
  <si>
    <t>Macaca_ochreata</t>
  </si>
  <si>
    <t>Macaca_radiata</t>
  </si>
  <si>
    <t>Macaca_silenus</t>
  </si>
  <si>
    <t>Macaca_sinica</t>
  </si>
  <si>
    <t>Macaca_sylvanus</t>
  </si>
  <si>
    <t>Macaca_thibetana</t>
  </si>
  <si>
    <t>Macaca_tonkeana</t>
  </si>
  <si>
    <t>Mandrillus_leucophaeus</t>
  </si>
  <si>
    <t>Mandrillus_sphinx</t>
  </si>
  <si>
    <t>Mico_argentatus</t>
    <phoneticPr fontId="0" type="noConversion"/>
  </si>
  <si>
    <t>Mico_humeralifer</t>
    <phoneticPr fontId="0" type="noConversion"/>
  </si>
  <si>
    <t>Microcebus_arnholdi</t>
  </si>
  <si>
    <t>Microcebus_griseorufus</t>
  </si>
  <si>
    <t>Microcebus_murinus</t>
  </si>
  <si>
    <t>Microcebus_rufus</t>
  </si>
  <si>
    <t>Miopithecus_ogouensis</t>
  </si>
  <si>
    <t>Mirza_coquereli</t>
  </si>
  <si>
    <t>Nasalis_larvatus</t>
  </si>
  <si>
    <t>Nomascus_concolor</t>
  </si>
  <si>
    <t>Nomascus_gabriellae</t>
  </si>
  <si>
    <t>Nomascus_leucogenys</t>
  </si>
  <si>
    <t>Nycticebus_bengalensis</t>
  </si>
  <si>
    <t>Nycticebus_coucang</t>
  </si>
  <si>
    <t>Nycticebus_pygmaeus</t>
  </si>
  <si>
    <t>Otolemur_crassicaudatus</t>
  </si>
  <si>
    <t>Otolemur_garnettii</t>
  </si>
  <si>
    <t>Pan_paniscus</t>
  </si>
  <si>
    <t>Pan_troglodytes</t>
  </si>
  <si>
    <t>Papio_anubis</t>
  </si>
  <si>
    <t>Papio_cynocephalus</t>
  </si>
  <si>
    <t>Papio_hamadryas</t>
  </si>
  <si>
    <t>Papio_papio</t>
  </si>
  <si>
    <t>Papio_ursinus</t>
  </si>
  <si>
    <t>Perodicticus_potto</t>
  </si>
  <si>
    <t>Phaner_pallescens</t>
  </si>
  <si>
    <t>Pithecia_albicans</t>
  </si>
  <si>
    <t>Pithecia_irrorata</t>
  </si>
  <si>
    <t>Pithecia_monachus</t>
  </si>
  <si>
    <t>Pithecia_pithecia</t>
  </si>
  <si>
    <t>Pongo_abelii</t>
  </si>
  <si>
    <t>Pongo_pygmaeus</t>
  </si>
  <si>
    <t>Presbytis_comata</t>
  </si>
  <si>
    <t>Presbytis_femoralis</t>
  </si>
  <si>
    <t>Presbytis_frontata</t>
  </si>
  <si>
    <t>Presbytis_hosei</t>
  </si>
  <si>
    <t>Presbytis_melalophos</t>
  </si>
  <si>
    <t>Presbytis_potenziani</t>
  </si>
  <si>
    <t>Presbytis_rubicunda</t>
  </si>
  <si>
    <t>Presbytis_siamensis</t>
  </si>
  <si>
    <t>Presbytis_thomasi</t>
  </si>
  <si>
    <t>Procolobus_badius</t>
    <phoneticPr fontId="0" type="noConversion"/>
  </si>
  <si>
    <t>Procolobus_kirkii</t>
    <phoneticPr fontId="0" type="noConversion"/>
  </si>
  <si>
    <t>Procolobus_pennantii</t>
  </si>
  <si>
    <t>Procolobus_preussi</t>
    <phoneticPr fontId="0" type="noConversion"/>
  </si>
  <si>
    <t>Procolobus_rufomitratus</t>
    <phoneticPr fontId="0" type="noConversion"/>
  </si>
  <si>
    <t>Procolobus_tephrosceles</t>
    <phoneticPr fontId="0" type="noConversion"/>
  </si>
  <si>
    <t>Procolobus_verus</t>
  </si>
  <si>
    <t>Prolemur_simus</t>
  </si>
  <si>
    <t>Propithecus_coquereli</t>
  </si>
  <si>
    <t>Propithecus_deckenii</t>
  </si>
  <si>
    <t>Propithecus_diadema</t>
  </si>
  <si>
    <t>Propithecus_edwardsi</t>
  </si>
  <si>
    <t>Propithecus_tattersalli</t>
  </si>
  <si>
    <t>Propithecus_verreauxi</t>
  </si>
  <si>
    <t>Pygathrix_nemaeus</t>
  </si>
  <si>
    <t>Pygathrix_nigripes</t>
  </si>
  <si>
    <t>Rhinopithecus_avunculus</t>
  </si>
  <si>
    <t>Rhinopithecus_bieti</t>
  </si>
  <si>
    <t>Rhinopithecus_brelichi</t>
  </si>
  <si>
    <t>Rhinopithecus_roxellana</t>
  </si>
  <si>
    <t>Saguinus_bicolor</t>
  </si>
  <si>
    <t>Saguinus_fuscicollis</t>
  </si>
  <si>
    <t>Saguinus_geoffroyi</t>
  </si>
  <si>
    <t>Saguinus_imperator</t>
  </si>
  <si>
    <t>Saguinus_labiatus</t>
  </si>
  <si>
    <t>Saguinus_leucopus</t>
  </si>
  <si>
    <t>Saguinus_midas</t>
  </si>
  <si>
    <t>Saguinus_mystax</t>
  </si>
  <si>
    <t>Saguinus_pileatus</t>
  </si>
  <si>
    <t>Saguinus_niger</t>
  </si>
  <si>
    <t>Saguinus_nigricollis</t>
  </si>
  <si>
    <t>Saguinus_oedipus</t>
  </si>
  <si>
    <t>Saguinus_tripartitus</t>
  </si>
  <si>
    <t>Saimiri_boliviensis</t>
  </si>
  <si>
    <t>Saimiri_oerstedii</t>
  </si>
  <si>
    <t>Saimiri_sciureus</t>
  </si>
  <si>
    <t>Sciurocheirus_cameronensis</t>
    <phoneticPr fontId="0" type="noConversion"/>
  </si>
  <si>
    <t>Sciurocheirus_gabonensis</t>
    <phoneticPr fontId="0" type="noConversion"/>
  </si>
  <si>
    <t>Semnopithecus_dussumieri</t>
  </si>
  <si>
    <t>Semnopithecus_entellus</t>
  </si>
  <si>
    <t>Semnopithecus_priam</t>
  </si>
  <si>
    <t>Semnopithecus_schistaceus</t>
  </si>
  <si>
    <t>Simias_concolor</t>
  </si>
  <si>
    <t>Symphalangus_syndactylus</t>
  </si>
  <si>
    <t>Tarsius_bancanus</t>
  </si>
  <si>
    <t>Tarsius_dentatus</t>
  </si>
  <si>
    <t>Tarsius_syrichta</t>
  </si>
  <si>
    <t>Tarsius_tarsier</t>
  </si>
  <si>
    <t>Theropithecus_gelada</t>
  </si>
  <si>
    <t>Trachypithecus_auratus</t>
  </si>
  <si>
    <t>Trachypithecus_barbei</t>
  </si>
  <si>
    <t>Trachypithecus_cristatus</t>
  </si>
  <si>
    <t>Trachypithecus_francoisi</t>
  </si>
  <si>
    <t>Trachypithecus_geei</t>
  </si>
  <si>
    <t>Trachypithecus_johnii</t>
  </si>
  <si>
    <t>Trachypithecus_obscurus</t>
  </si>
  <si>
    <t>Trachypithecus_phayrei</t>
  </si>
  <si>
    <t>Trachypithecus_pileatus</t>
  </si>
  <si>
    <t>Trachypithecus_poliocephalus</t>
  </si>
  <si>
    <t>Trachypithecus_vetulus</t>
  </si>
  <si>
    <t>Varecia_rubra</t>
    <phoneticPr fontId="0" type="noConversion"/>
  </si>
  <si>
    <t>Varecia_variegata</t>
    <phoneticPr fontId="0" type="noConversion"/>
  </si>
  <si>
    <t>Cercopithecinae</t>
    <phoneticPr fontId="0" type="noConversion"/>
  </si>
  <si>
    <t>Cercopithecidae</t>
    <phoneticPr fontId="0" type="noConversion"/>
  </si>
  <si>
    <t>Cheirogaleidae</t>
    <phoneticPr fontId="0" type="noConversion"/>
  </si>
  <si>
    <t>Alouattinae</t>
    <phoneticPr fontId="0" type="noConversion"/>
  </si>
  <si>
    <t>Atelidae</t>
    <phoneticPr fontId="0" type="noConversion"/>
  </si>
  <si>
    <t>Aotidae</t>
    <phoneticPr fontId="0" type="noConversion"/>
  </si>
  <si>
    <t>Loridae</t>
    <phoneticPr fontId="0" type="noConversion"/>
  </si>
  <si>
    <t>Atelinae</t>
    <phoneticPr fontId="0" type="noConversion"/>
  </si>
  <si>
    <t>Indridae</t>
    <phoneticPr fontId="0" type="noConversion"/>
  </si>
  <si>
    <t>Pitheciidae</t>
    <phoneticPr fontId="0" type="noConversion"/>
  </si>
  <si>
    <t>Callitrichidae</t>
    <phoneticPr fontId="0" type="noConversion"/>
  </si>
  <si>
    <t>Callicebidae</t>
    <phoneticPr fontId="0" type="noConversion"/>
  </si>
  <si>
    <t>Tarsiidae</t>
    <phoneticPr fontId="0" type="noConversion"/>
  </si>
  <si>
    <t>Cebidae</t>
    <phoneticPr fontId="0" type="noConversion"/>
  </si>
  <si>
    <t>cephus group</t>
    <phoneticPr fontId="0" type="noConversion"/>
  </si>
  <si>
    <t>mona group</t>
    <phoneticPr fontId="0" type="noConversion"/>
  </si>
  <si>
    <t>diana group</t>
    <phoneticPr fontId="0" type="noConversion"/>
  </si>
  <si>
    <t>hamlyni group</t>
    <phoneticPr fontId="0" type="noConversion"/>
  </si>
  <si>
    <t>lhoesti group</t>
    <phoneticPr fontId="0" type="noConversion"/>
  </si>
  <si>
    <t>mitis group</t>
    <phoneticPr fontId="0" type="noConversion"/>
  </si>
  <si>
    <t>neglectus group</t>
    <phoneticPr fontId="0" type="noConversion"/>
  </si>
  <si>
    <t>Colobinae</t>
    <phoneticPr fontId="0" type="noConversion"/>
  </si>
  <si>
    <t>Daubentoniidae</t>
    <phoneticPr fontId="0" type="noConversion"/>
  </si>
  <si>
    <t>Lemuridae</t>
    <phoneticPr fontId="0" type="noConversion"/>
  </si>
  <si>
    <t>Galagidae</t>
    <phoneticPr fontId="0" type="noConversion"/>
  </si>
  <si>
    <t>Hominidae</t>
    <phoneticPr fontId="0" type="noConversion"/>
  </si>
  <si>
    <t>Hylobatidae</t>
    <phoneticPr fontId="0" type="noConversion"/>
  </si>
  <si>
    <t>Lepilemuridae</t>
    <phoneticPr fontId="0" type="noConversion"/>
  </si>
  <si>
    <t>Pongidae</t>
    <phoneticPr fontId="0" type="noConversion"/>
  </si>
  <si>
    <t>red colobus group</t>
    <phoneticPr fontId="0" type="noConversion"/>
  </si>
  <si>
    <t>olive group</t>
    <phoneticPr fontId="0" type="noConversion"/>
  </si>
  <si>
    <t>ECV</t>
  </si>
  <si>
    <t>N ECV</t>
  </si>
  <si>
    <t>Body mass</t>
  </si>
  <si>
    <t>fem</t>
  </si>
  <si>
    <t>Isler et al. 2008</t>
  </si>
  <si>
    <t>Smith&amp;Jungers 1997</t>
  </si>
  <si>
    <t>van Woerden compilation</t>
  </si>
  <si>
    <t>Ford and Davis 1992 in Smith and Jungers 1997</t>
    <phoneticPr fontId="0" type="noConversion"/>
  </si>
  <si>
    <t>Isler et al. 2008 (matching)</t>
  </si>
  <si>
    <t>matching ECV</t>
    <phoneticPr fontId="0" type="noConversion"/>
  </si>
  <si>
    <t>van Woerden compilation (matching)</t>
  </si>
  <si>
    <t>Peres 1994 in Smith and Jungers 1997</t>
    <phoneticPr fontId="0" type="noConversion"/>
  </si>
  <si>
    <t>Glander in ATWP 2011</t>
  </si>
  <si>
    <t>Ayres 86, Rudran 79, Braza et al 83, Hernandez-Camacho&amp;Defler 85 in Smith and Jungers 1997</t>
    <phoneticPr fontId="0" type="noConversion"/>
  </si>
  <si>
    <t>all individuals</t>
  </si>
  <si>
    <t>Fernandez-Duque 2004 in same 07</t>
  </si>
  <si>
    <t>all individuals</t>
    <phoneticPr fontId="0" type="noConversion"/>
  </si>
  <si>
    <t>Aquino and Encarnacion 1986b inFernandez-Duque 07</t>
  </si>
  <si>
    <t>Peres 1993 in Smith and Jungers 1997</t>
    <phoneticPr fontId="0" type="noConversion"/>
  </si>
  <si>
    <t>Montoya et al. 1995  in Smith and Jungers 1997</t>
    <phoneticPr fontId="0" type="noConversion"/>
  </si>
  <si>
    <t>Charles-Dominique 1977 book</t>
  </si>
  <si>
    <t>Crile&amp;Quiring 40 in Smith and Jungers 1997</t>
    <phoneticPr fontId="0" type="noConversion"/>
  </si>
  <si>
    <t>Di Fiore and Campbell 07</t>
  </si>
  <si>
    <t>Lemos de Sa&amp;Glander 93 in Smith and Jungers 1997</t>
    <phoneticPr fontId="0" type="noConversion"/>
  </si>
  <si>
    <t>fem</t>
    <phoneticPr fontId="0" type="noConversion"/>
  </si>
  <si>
    <t>Lemos de Sa&amp;Glander 93</t>
  </si>
  <si>
    <t>ATWP 2011</t>
  </si>
  <si>
    <t>Ayres 1986 in Smith and Jungers 1997</t>
    <phoneticPr fontId="0" type="noConversion"/>
  </si>
  <si>
    <t>Ayres 86, Hershkovitz 90, Ferrari&amp;Lopes 95</t>
  </si>
  <si>
    <t>ATWP 2011: Porter pers comm, Encarnacion, Garber pers comm</t>
  </si>
  <si>
    <t>Bicca-Marques pers obs, Ford and Davis 1992 in ATWP 2011</t>
  </si>
  <si>
    <t>Araujo 2000 in ATWP 2011, wild</t>
  </si>
  <si>
    <t>Soini 1988</t>
  </si>
  <si>
    <t>Oates et al. 1990 in Smith and Jungers 1997</t>
    <phoneticPr fontId="0" type="noConversion"/>
  </si>
  <si>
    <t>Wieczkowski&amp;Butynski in press in ATWP 2011</t>
  </si>
  <si>
    <t>various, ATWP 2011 (captives excluded)</t>
  </si>
  <si>
    <t>Malbrant&amp;Maclatchy 1949, Gautier-Hion&amp;Gautier 76 in Smith and Jungers 1997</t>
    <phoneticPr fontId="0" type="noConversion"/>
  </si>
  <si>
    <t>Smith and Jungers 1997 (n unknown, from graph in Haltenorth and Diller 1980)</t>
  </si>
  <si>
    <t>female</t>
  </si>
  <si>
    <t>Smith and Jungers 1997</t>
    <phoneticPr fontId="0" type="noConversion"/>
  </si>
  <si>
    <t>Colyn 1994</t>
  </si>
  <si>
    <t>in Smith and Jungers 1997</t>
    <phoneticPr fontId="0" type="noConversion"/>
  </si>
  <si>
    <t>diverse in ATWP 2011, few values</t>
  </si>
  <si>
    <t>Colyn 1974 in ATWP 2011</t>
  </si>
  <si>
    <t>Gautier Hion 1999</t>
  </si>
  <si>
    <t>Ayres 1981, 1989 in Norconk 07</t>
  </si>
  <si>
    <t>Hershkovitz 1985 in Smith and Jungers 1997 (this body mass from Surinam specimens most probably refers to C. chiropotes)</t>
  </si>
  <si>
    <t>Oates et al. 94, Colyn 94 in Smith and Jungers 1997</t>
    <phoneticPr fontId="0" type="noConversion"/>
  </si>
  <si>
    <t>Malbrant&amp;Maclatchy 49, Sabater Pi 73, Oates et al. 94 in Smith and Jungers 1997</t>
    <phoneticPr fontId="0" type="noConversion"/>
  </si>
  <si>
    <t>Feistner &amp; Sterling 1997</t>
  </si>
  <si>
    <t>Galat-Luong 1996 in Smith&amp;Jungers 1997</t>
    <phoneticPr fontId="0" type="noConversion"/>
  </si>
  <si>
    <t>Toborowski unpublished in ATWP 2011</t>
  </si>
  <si>
    <t>Donati 2007 in ATWP 2011</t>
  </si>
  <si>
    <t>Terranova&amp;Coffman 1997 (wild) in Smith and Jungers 1997</t>
    <phoneticPr fontId="0" type="noConversion"/>
  </si>
  <si>
    <t>Pastorini, pers comm; Rasmussen 1999 in ATWP 2011</t>
    <phoneticPr fontId="0" type="noConversion"/>
  </si>
  <si>
    <t>Bayart and Simmen 2005, Junge and Louis 2007, wild, in ATWP 2011</t>
  </si>
  <si>
    <t>Pastorini, pers comm</t>
  </si>
  <si>
    <t>Gerson 2001 in ATWP 2011</t>
  </si>
  <si>
    <t>Chivers &amp; Hladik 1989 in Smith and Jungers 1997</t>
    <phoneticPr fontId="0" type="noConversion"/>
  </si>
  <si>
    <t>Jewell and Oates 1969 in ATWP 2011</t>
  </si>
  <si>
    <t>J. Masters pc</t>
  </si>
  <si>
    <t>Nekaris &amp; Bearder 2007</t>
  </si>
  <si>
    <t>Ambrose 1999</t>
    <phoneticPr fontId="0" type="noConversion"/>
  </si>
  <si>
    <t>Harcourt &amp; Bearder 1989 in Smith and Jungers 1997</t>
    <phoneticPr fontId="0" type="noConversion"/>
  </si>
  <si>
    <t>Jungers &amp; Susman 84, Groves p.c</t>
  </si>
  <si>
    <t>Mutschler 1999</t>
  </si>
  <si>
    <t>Tan 2000 in ATWP 2011</t>
  </si>
  <si>
    <t>Tan pers obs. in ATWP 2011</t>
  </si>
  <si>
    <t>Geissmann 1993</t>
  </si>
  <si>
    <t>mean m/f, no dim</t>
  </si>
  <si>
    <t>Powzyk &amp; Thalmann 2003</t>
  </si>
  <si>
    <t>Isler et al. 2008 (from S&amp;J)</t>
  </si>
  <si>
    <t>Cole, p.c., in Smith&amp;Jungers 1997</t>
    <phoneticPr fontId="0" type="noConversion"/>
  </si>
  <si>
    <t>Lu 1999</t>
  </si>
  <si>
    <t>Sussman unpublished in ATWP 2011, Bezy Mahafaly</t>
    <phoneticPr fontId="0" type="noConversion"/>
  </si>
  <si>
    <t>Dietz et al. 1994,dry season</t>
    <phoneticPr fontId="0" type="noConversion"/>
  </si>
  <si>
    <t>Smith and Jungers 1997</t>
  </si>
  <si>
    <t>Andriaholinirina et al 2006</t>
  </si>
  <si>
    <t>Zinner et al.</t>
  </si>
  <si>
    <t>Gordon 2006</t>
  </si>
  <si>
    <t>Colyn 1994, and Smith&amp;Jungers 1997</t>
    <phoneticPr fontId="0" type="noConversion"/>
  </si>
  <si>
    <t>matching ECV</t>
  </si>
  <si>
    <t>Fooden 1990 in Smith and Jungers 1997</t>
    <phoneticPr fontId="0" type="noConversion"/>
  </si>
  <si>
    <t>Fooden 1988 in Smith&amp;Jungers 1997</t>
    <phoneticPr fontId="0" type="noConversion"/>
  </si>
  <si>
    <t>Rothenfluh 1976 in Smith and Jungers 1997</t>
    <phoneticPr fontId="0" type="noConversion"/>
  </si>
  <si>
    <t>Fooden 2005</t>
    <phoneticPr fontId="0" type="noConversion"/>
  </si>
  <si>
    <t>captive, Hamada et al 1995</t>
    <phoneticPr fontId="0" type="noConversion"/>
  </si>
  <si>
    <t>Watanabe 1987 in ATWP 2012</t>
    <phoneticPr fontId="0" type="noConversion"/>
  </si>
  <si>
    <t>J. Supriatna &amp; J. Froehlich, pc, in Smith and Jungers 1997</t>
    <phoneticPr fontId="0" type="noConversion"/>
  </si>
  <si>
    <t>Schillaci 2005 in ATWP 2012</t>
    <phoneticPr fontId="0" type="noConversion"/>
  </si>
  <si>
    <t>captive, Harvey et al. 1991</t>
    <phoneticPr fontId="0" type="noConversion"/>
  </si>
  <si>
    <t>Cheverud 1992 in ATWP 2012</t>
    <phoneticPr fontId="0" type="noConversion"/>
  </si>
  <si>
    <t>Camperio Ciani pers obs in ATWP 2012, Atlas Morocco</t>
    <phoneticPr fontId="0" type="noConversion"/>
  </si>
  <si>
    <t>Zhao 1996 in ATWP 2012, China</t>
    <phoneticPr fontId="0" type="noConversion"/>
  </si>
  <si>
    <t>Supriatna 1991, Hamada 1995</t>
    <phoneticPr fontId="0" type="noConversion"/>
  </si>
  <si>
    <t>Butynski 2009 unpublished in ATWP 2012, Bioko Island, Malbrant&amp;Maclatchy 49 N=1</t>
    <phoneticPr fontId="0" type="noConversion"/>
  </si>
  <si>
    <t>Abernethy unpulbl in ATWP 2012</t>
    <phoneticPr fontId="0" type="noConversion"/>
  </si>
  <si>
    <t>Atsalis 1997</t>
    <phoneticPr fontId="0" type="noConversion"/>
  </si>
  <si>
    <t>ShiLai 1986 in ATWP 2012, subspecies concolor</t>
    <phoneticPr fontId="0" type="noConversion"/>
  </si>
  <si>
    <t>Streicher 2006 pers comm in ATWP 2012, Smith&amp;Jungers 1997</t>
    <phoneticPr fontId="0" type="noConversion"/>
  </si>
  <si>
    <t>Deputte 1981 in ATWP 2011</t>
  </si>
  <si>
    <t>ATWP 2012 diverse</t>
    <phoneticPr fontId="0" type="noConversion"/>
  </si>
  <si>
    <t>Nekaris and Jaffe 2007 in ATWP 2012</t>
    <phoneticPr fontId="0" type="noConversion"/>
  </si>
  <si>
    <t>Skinner &amp; Smithers 1990 in Smith and Junger s1997</t>
    <phoneticPr fontId="0" type="noConversion"/>
  </si>
  <si>
    <t>MyersThompson 1997 in ATWP 2012</t>
    <phoneticPr fontId="0" type="noConversion"/>
  </si>
  <si>
    <t>Berger 1972 Kenya</t>
    <phoneticPr fontId="0" type="noConversion"/>
  </si>
  <si>
    <t>Bentley Condit unpubl in ATWP 2012</t>
    <phoneticPr fontId="0" type="noConversion"/>
  </si>
  <si>
    <t>Phillips-Conroy &amp; Jolly 81</t>
  </si>
  <si>
    <t>Adie 1997 in ATWP 2012</t>
    <phoneticPr fontId="0" type="noConversion"/>
  </si>
  <si>
    <t>Bulger&amp;Hamilton 87, Skinner&amp;Smithers 90</t>
  </si>
  <si>
    <t>Schülke et al. 2004 (P. furcifer)</t>
  </si>
  <si>
    <t>Norconk 07 review</t>
  </si>
  <si>
    <t>Willis 1995 in Smith and Jungers 1997</t>
    <phoneticPr fontId="0" type="noConversion"/>
  </si>
  <si>
    <t>Willis 1995</t>
  </si>
  <si>
    <t>Brandon-Jones 93, Tilson &amp; Tenaza 76</t>
  </si>
  <si>
    <t>indet</t>
    <phoneticPr fontId="0" type="noConversion"/>
  </si>
  <si>
    <t>Waltert 2002 in ATWP 2011</t>
  </si>
  <si>
    <t>ATWP 2011</t>
    <phoneticPr fontId="0" type="noConversion"/>
  </si>
  <si>
    <t>Oates et al. 90 in Smith and Jungers 1997</t>
    <phoneticPr fontId="0" type="noConversion"/>
  </si>
  <si>
    <t>Kappeler 1991, Ravosa 1993 (captive???)</t>
    <phoneticPr fontId="0" type="noConversion"/>
  </si>
  <si>
    <t>Pastorini, pers comm; Junge 2005 in ATWP 2011</t>
    <phoneticPr fontId="0" type="noConversion"/>
  </si>
  <si>
    <t>Powzyk 1997</t>
  </si>
  <si>
    <t>ATWP 2011: Glander 1992, Lehmann 2005</t>
  </si>
  <si>
    <t xml:space="preserve">Ravosa 1993 </t>
  </si>
  <si>
    <t>Brockman et al. Sifaka database in ATWP 2011</t>
  </si>
  <si>
    <t>van Woerden compilation, 89 N=4 females in Lippold in press ATwo 2011</t>
  </si>
  <si>
    <t>Lippold (Vietnam field and museum notes) in ATWP 2011</t>
  </si>
  <si>
    <t>Vu and Willis in ATWP 2011</t>
  </si>
  <si>
    <t>Ratajszczak 1992 in ATWP 2012</t>
    <phoneticPr fontId="0" type="noConversion"/>
  </si>
  <si>
    <t>Kirkpatrick 1998, single males ATWP 2011</t>
  </si>
  <si>
    <t>Liu 1989, Quan 2002 in ATWP 2011</t>
  </si>
  <si>
    <t>Gordon 2006, Boinski 2002?</t>
    <phoneticPr fontId="0" type="noConversion"/>
  </si>
  <si>
    <t>Crile&amp;Quiring 40, Schultz 41 in Smith and Jungers 1997</t>
    <phoneticPr fontId="0" type="noConversion"/>
  </si>
  <si>
    <t>ATWP 2011 diverse</t>
  </si>
  <si>
    <t>Gursky 07</t>
  </si>
  <si>
    <t>Neri-Arboleda 2001 and Dagosto et al. 2001</t>
  </si>
  <si>
    <t>Nietsch&amp;Niemitz 1992, Gursky, pc in Smith and Jungers 1997</t>
    <phoneticPr fontId="0" type="noConversion"/>
  </si>
  <si>
    <t>Kool 1992 in ATWP 2011</t>
  </si>
  <si>
    <t>brain: m/f mean (no dim data); body: female</t>
  </si>
  <si>
    <t>Huang 2005 in ATWP 2012</t>
    <phoneticPr fontId="0" type="noConversion"/>
  </si>
  <si>
    <t>Hill 1934 in ATWP 2012</t>
    <phoneticPr fontId="0" type="noConversion"/>
  </si>
  <si>
    <t>Vasey 2003</t>
  </si>
  <si>
    <t>%animal prey</t>
  </si>
  <si>
    <t>%fruit</t>
  </si>
  <si>
    <t>% seeds</t>
  </si>
  <si>
    <t>%fruit and seeds</t>
  </si>
  <si>
    <t>%nectar</t>
  </si>
  <si>
    <t>%flowers</t>
  </si>
  <si>
    <t>%nectar and flowers</t>
  </si>
  <si>
    <t>%gum</t>
  </si>
  <si>
    <t>%leaves</t>
  </si>
  <si>
    <t>%young leaves</t>
  </si>
  <si>
    <t>%mature leaves</t>
  </si>
  <si>
    <t>%other</t>
  </si>
  <si>
    <t>sum</t>
  </si>
  <si>
    <t xml:space="preserve"> </t>
    <phoneticPr fontId="0" type="noConversion"/>
  </si>
  <si>
    <t>average</t>
  </si>
  <si>
    <t>Enstam and Isbell 07 review</t>
  </si>
  <si>
    <t>single study</t>
  </si>
  <si>
    <t>Biebouw 2009 (ATWP)</t>
  </si>
  <si>
    <t>Di Fiore and Campbell 07, other includes seeds (Bonvicino 1989 and Jardim 1997 from ATWP)</t>
  </si>
  <si>
    <t>Di Fiore and Campbell 07, (Bicca-Marques &amp; Calegaro-Marques 1994, Bravo&amp;Sallenave 2003, Prates, Bicca-Marques 2008, Zunino 1986, ATWP)</t>
  </si>
  <si>
    <t>Pinto 2002 (ATWP)</t>
  </si>
  <si>
    <t>Di Fiore and Campbell 07, other includes seeds (Marques 2001, Martins 1997, ATWP)</t>
  </si>
  <si>
    <t>Neves&amp;Rylands 1991, Palacios&amp;Rodriguez 2001, ATWP</t>
  </si>
  <si>
    <t>Feer 1999, Julliot&amp;Sabatier 1993, Queiroz 1995, ATWP</t>
  </si>
  <si>
    <t>Di Fiore and Campbell 07, other includes seeds, ATWP</t>
  </si>
  <si>
    <t>Di Fiore and Campbell 07, other includes seeds</t>
  </si>
  <si>
    <t>Fernandez-Duque 07 review</t>
  </si>
  <si>
    <t>buds 26.5, flowers 5.9, Shanee unpubl. in ATWP 2011</t>
  </si>
  <si>
    <t>67% nectar and flowers in july and august, Fernandez-Duque 07 review, Rowe 96 leaves including flowers and buds</t>
  </si>
  <si>
    <t>30 leaves including flowers and buds, Sussman 2000 from Hladik 69</t>
  </si>
  <si>
    <t>Charles-Dominique,Gabon</t>
  </si>
  <si>
    <t>Symington 1987, 1988, Wallace 2005</t>
  </si>
  <si>
    <t>Méndez-Carvajal et all 2010</t>
  </si>
  <si>
    <t>Di Fiore and Campbell 07, other includes seeds, young leaves from ATWP 2011</t>
  </si>
  <si>
    <t>Link (pers comm) in ATWP 2011</t>
  </si>
  <si>
    <t>Harcourt 2009</t>
  </si>
  <si>
    <t>Thalmann 2001</t>
  </si>
  <si>
    <t>Faulkner &amp; Lehman 2006</t>
  </si>
  <si>
    <t>three studies</t>
  </si>
  <si>
    <t>Di Fiore and Campbell 07, other includes seeds, de carvalho in ATWP, Talebi 2005 and 2008</t>
  </si>
  <si>
    <t>ATWP 2011: Strier, Lemos de Sa, Rimoli</t>
  </si>
  <si>
    <t>Norconk 07 review, ATWP: Bowler, Ayres and Aquino</t>
  </si>
  <si>
    <t>Norconk 07 review, Barnett in ATWP 2011</t>
  </si>
  <si>
    <t>Rowe 1996???</t>
    <phoneticPr fontId="0" type="noConversion"/>
  </si>
  <si>
    <t>Herrea and Heymann 2004 in ATWP 2011</t>
  </si>
  <si>
    <t>average</t>
    <phoneticPr fontId="0" type="noConversion"/>
  </si>
  <si>
    <t>Youlatos 1999, Carrilloin press in ATWP 2012</t>
    <phoneticPr fontId="0" type="noConversion"/>
  </si>
  <si>
    <t>lean season, Palacios 1997 in ATWP 2011</t>
  </si>
  <si>
    <t>Rowe 96 ref 699</t>
  </si>
  <si>
    <t>DeLuycker 2007 in ATWP 2012</t>
    <phoneticPr fontId="0" type="noConversion"/>
  </si>
  <si>
    <t>Kinzey 1983, Price 2001</t>
    <phoneticPr fontId="0" type="noConversion"/>
  </si>
  <si>
    <t>two studies</t>
  </si>
  <si>
    <t>19.-38 fungus, here put into "leaves", 7% unknown (Porter 2001b,2004, 2009, Regh 2003 thesis, in ATWP 2011</t>
  </si>
  <si>
    <t>Martins 2000 in ATWP 2012</t>
    <phoneticPr fontId="0" type="noConversion"/>
  </si>
  <si>
    <t>Ferrari 1988 in ATWP 2012</t>
    <phoneticPr fontId="0" type="noConversion"/>
  </si>
  <si>
    <t>Passamani 200 in ATWP 2011</t>
  </si>
  <si>
    <t>Digby et al. 07 review: some fungus</t>
  </si>
  <si>
    <t>three months study</t>
  </si>
  <si>
    <t>HMW vol. 3 (3 months Aug-oct)</t>
  </si>
  <si>
    <t>Odalia-Rimoli 2002, Ferreia 2005, Fonseca 1994 in ATWP 2011</t>
  </si>
  <si>
    <t>Digby et al. 07 review</t>
  </si>
  <si>
    <t>Defler 1979 in Rosenberger 1992</t>
  </si>
  <si>
    <t>Mittermeier and van Roosmalen 1981 (Surinam, "C. nigrivittatus"), animal matter: minimum from Zhang, fruits reduced accordingly, Zhang 1995 gives highly variable diet according to fruit availability (in ATWP 2011)</t>
  </si>
  <si>
    <t>Rose 1994, Costa Rica</t>
  </si>
  <si>
    <t>HMW vol. 3, Fazenda Boa Vista, Piaui state, Brazil</t>
  </si>
  <si>
    <t>Izar 2004, Rimoli 2001 in TWP 2011</t>
  </si>
  <si>
    <t>Miller 1992 PhD thesis from ATWP 2011</t>
  </si>
  <si>
    <t>Santochirico 2007 pers comm, Shah 2003 in ATWP 2012</t>
    <phoneticPr fontId="0" type="noConversion"/>
  </si>
  <si>
    <t>ATWP 2011: Rutte 1998 (incomplete citation), adds up to 121%, thus insect minus 21%</t>
  </si>
  <si>
    <t>Homewood 1976, Kinnaird 1991, Wieczkowski 2003 thesis in ATWP 2011 (nonrepr. plant parts includes 2.4% bark)</t>
  </si>
  <si>
    <t>Mitani 1989 in ATWP 2011</t>
  </si>
  <si>
    <t>Enstam and Isbell 07 review, ATWP: mature leaves less than 1%</t>
  </si>
  <si>
    <t>Enstam and Isbell 07 review, Buzzard 2006 in ATWP 2011 (Porter is lowei)</t>
  </si>
  <si>
    <t>single study</t>
    <phoneticPr fontId="0" type="noConversion"/>
  </si>
  <si>
    <t>Porter 2005 in ATWP 2012, bark 8%</t>
    <phoneticPr fontId="0" type="noConversion"/>
  </si>
  <si>
    <t>average of four studies</t>
  </si>
  <si>
    <t>Enstam and Isbell 07 review, Tutin, GautierHion in ATWP 2011</t>
  </si>
  <si>
    <t>four studies</t>
  </si>
  <si>
    <t>Enstam and Isbell 07 review, Oates 1990 two groups, Eckhardt in ATWP 2011</t>
  </si>
  <si>
    <t>Porter 2005 in ATWP 2011 (insects mentioned in C. campbelli entry)</t>
  </si>
  <si>
    <t>Kaplin 2000 in Enstam and Isbell 07 review, Ukizintambara in ATWP 2011</t>
  </si>
  <si>
    <t>Enstam and Isbell 07 review, multitude of values in ATWP 2011, more than half young leaves</t>
  </si>
  <si>
    <t>Matsuda Goodwin 2007 in ATWP 2011</t>
  </si>
  <si>
    <t>Enstam and Isbell 07 review, Wahome et al. 1993 in ATWP 2011</t>
  </si>
  <si>
    <t>Enstam and Isbell 07 review (Buzzard 2006, Galat 1985 in ATWP 2011)</t>
  </si>
  <si>
    <t>Enstam and Isbell 07 review, ATWP 2011</t>
  </si>
  <si>
    <t>Beeson 1996 in ATWP 2012, terr. herbaceous plants, pith and tree shoots included in leaves</t>
    <phoneticPr fontId="0" type="noConversion"/>
  </si>
  <si>
    <t>Fietz &amp; Ganzhorn 1999, Hladik 1980</t>
  </si>
  <si>
    <t>Norconk 07 review (Pinto 2008 in ATWP 2011), Ayres 1981, other including bark)</t>
  </si>
  <si>
    <t>Norconk 07 review (other including leaves, insect, bark)</t>
  </si>
  <si>
    <t>Santos 2002, Silva 2003, Veiga 2006 in ATWP 2011</t>
  </si>
  <si>
    <t>Santos 2002, Vierira 2005 in ATWP 2012</t>
    <phoneticPr fontId="0" type="noConversion"/>
  </si>
  <si>
    <t>Whitten 1983, Wrangham 1981 in ATWP 2012 refer to C. pygetythrus!</t>
    <phoneticPr fontId="0" type="noConversion"/>
  </si>
  <si>
    <t>Mekonnen 2010 in ATWP 2012</t>
    <phoneticPr fontId="0" type="noConversion"/>
  </si>
  <si>
    <t>Enstam and Isbell 07 review (Whitten 1983, Wrangham 1981 in ATWP 2012)</t>
    <phoneticPr fontId="0" type="noConversion"/>
  </si>
  <si>
    <t>Galat 1977 in ATWP 2011</t>
  </si>
  <si>
    <t>average of four-five studies</t>
  </si>
  <si>
    <t>lichen in adult leaves, Fashing 07 review</t>
  </si>
  <si>
    <t>average of 8 studies</t>
  </si>
  <si>
    <t>ATWP 2011: Fashing</t>
  </si>
  <si>
    <t>average of two studies</t>
  </si>
  <si>
    <t>ATWP 2011: DaSilva 1989, Korstjens 2001</t>
  </si>
  <si>
    <t>average fo three studies</t>
  </si>
  <si>
    <t>Fashing 07 review</t>
  </si>
  <si>
    <t>Saj 2007 in ATWP 2011</t>
  </si>
  <si>
    <t>Sterling 1994</t>
  </si>
  <si>
    <t>Isbell 1998, Nakagawa 2000</t>
  </si>
  <si>
    <t>Vasey 2002, Toborowsky 2006</t>
  </si>
  <si>
    <t>HMW vol.3</t>
  </si>
  <si>
    <t>Freed 1996 in ATWP 2011</t>
  </si>
  <si>
    <t>Rasmussen 1999, Tarnaud 2006</t>
  </si>
  <si>
    <t>Birkinshaw 2001, Colquhoun 2005 in ATWP 2011</t>
  </si>
  <si>
    <t>Rasmussen 1999, Curtis1997, Andriatsarafara 1988 in ATWP 2011</t>
  </si>
  <si>
    <t>Overdorff 1993, Tecot 2008 in ATWP 2011</t>
  </si>
  <si>
    <t>Overdorff 1993 in ATWP 2012</t>
    <phoneticPr fontId="0" type="noConversion"/>
  </si>
  <si>
    <t>Overdorff1993, CluttonBrock 1977, Gerson 2001 in ATWP 2011</t>
  </si>
  <si>
    <t>mainly fruit</t>
  </si>
  <si>
    <t>South Africa, Bearder, Harcourt</t>
  </si>
  <si>
    <t>Kenya, coastal, Harcourt and nash</t>
  </si>
  <si>
    <t>Charles-Dominique,Gabon,  thomasi and demidoff</t>
  </si>
  <si>
    <t>Kingdon 1974 in ATWP 2011</t>
  </si>
  <si>
    <t>average of three studies</t>
  </si>
  <si>
    <t>wood 6.9, roots 3.3, Rowe 96 ref 249; Goldsmith 2007 (bark in mature leaves), Rothmann 2006, Watts 1984 in ATWP 2011</t>
  </si>
  <si>
    <t>Remis 2001, leaves including THV (Oates et al. 2003: only 14.7% fruits)</t>
  </si>
  <si>
    <t>Mutschler 1999 in ATWP 2011, does not add up to 100%</t>
    <phoneticPr fontId="0" type="noConversion"/>
  </si>
  <si>
    <t>Tan 1999 in ATWP 2011</t>
  </si>
  <si>
    <t>Overdorff et al. 1997, other=fungi</t>
  </si>
  <si>
    <t>Bartlett 07 review, and Das 2002 in ATWP 2011</t>
  </si>
  <si>
    <t>Bartlett 07 review</t>
  </si>
  <si>
    <t>Cheyne 2004, 2009 in ATWP 2012</t>
    <phoneticPr fontId="0" type="noConversion"/>
  </si>
  <si>
    <t>Bartlett 07 review (Whitten 1982)</t>
  </si>
  <si>
    <t>Bartlett 07 review (Kappeler 1981)</t>
  </si>
  <si>
    <t>Bartlett 07 review, Chivers 1984, Rodman 1978</t>
  </si>
  <si>
    <t>Atsalis 1999, Pollock 1977, Powzyk 1997, Britt et al. 2002</t>
  </si>
  <si>
    <t>Di Fiore and Campbell 07, Iwanaga 2001, Peres 1994 in ATWP 2011</t>
  </si>
  <si>
    <t>Defler 1996, Gonzalez 2009, Zarate 2009 in ATWP 2011</t>
    <phoneticPr fontId="0" type="noConversion"/>
  </si>
  <si>
    <t>Stevenson 2006 in ATWP 2012</t>
    <phoneticPr fontId="0" type="noConversion"/>
  </si>
  <si>
    <t>Di Fiore and Campbell 07 (Dew 2005, Di Fiore 2003, Soini 1990 in ATWP 2011)</t>
    <phoneticPr fontId="0" type="noConversion"/>
  </si>
  <si>
    <t>Jolly 1966, Kelley 2001, Sussman 1977 in ATWP 2011</t>
    <phoneticPr fontId="0" type="noConversion"/>
  </si>
  <si>
    <t>Prado 1999 in ATWP 2012, also fungi; HMW vol. 3 1.3% gum</t>
  </si>
  <si>
    <t>Guidorizzi 2008 in ATWP 2012, 64% animal prey, 35% fruit, 1% gum, maybe strangely counted (% of foraging and feeding time)</t>
    <phoneticPr fontId="0" type="noConversion"/>
  </si>
  <si>
    <t>Costa 1997, Passos 1997 in ATWP 2012</t>
    <phoneticPr fontId="0" type="noConversion"/>
  </si>
  <si>
    <t>Digby review 2007, fruits Miller &amp;Dietz 2005:38.3, but do not sum up to 100%</t>
    <phoneticPr fontId="0" type="noConversion"/>
  </si>
  <si>
    <t>L. edwardsi, Thalmann 2001</t>
  </si>
  <si>
    <t>approximate values, Nash 1998 in ATWP 2011</t>
  </si>
  <si>
    <t xml:space="preserve">Freeland 1979, Ham 1994, Olupot 1998, Pouslsen 2001, Shah 2003, Waser 1975, </t>
    <phoneticPr fontId="0" type="noConversion"/>
  </si>
  <si>
    <t>Maisels 1994, Horn 1987 in ATWP 2011</t>
    <phoneticPr fontId="0" type="noConversion"/>
  </si>
  <si>
    <t>India, Nekaris 2003, Kar Gupta 2007 in ATWP 2011</t>
    <phoneticPr fontId="0" type="noConversion"/>
  </si>
  <si>
    <t>Sri Lanka, Nekaris 2003</t>
  </si>
  <si>
    <t>no data in ATWP 2012</t>
    <phoneticPr fontId="0" type="noConversion"/>
  </si>
  <si>
    <t>Schülke in press in ATWP 2012</t>
    <phoneticPr fontId="0" type="noConversion"/>
  </si>
  <si>
    <t>flowers include roots and herbs, Thierry 07, Su 2003, Chang 1999 in ATWP 2012</t>
    <phoneticPr fontId="0" type="noConversion"/>
  </si>
  <si>
    <t>flowers include roots and herbs, Thierry 07</t>
  </si>
  <si>
    <t>flowers include roots and herbs, Thierry 07, Agetsuma 1998, Hanya 2004 in ATWP 2012</t>
    <phoneticPr fontId="0" type="noConversion"/>
  </si>
  <si>
    <t>siingle study</t>
    <phoneticPr fontId="0" type="noConversion"/>
  </si>
  <si>
    <t>Choudhury 2008 in ATWP 2012</t>
    <phoneticPr fontId="0" type="noConversion"/>
  </si>
  <si>
    <t>Goldstein and Richard 1989</t>
  </si>
  <si>
    <t>Caldecott 1986 in ATWP, flowers include roots and herbs, Thierry 07</t>
    <phoneticPr fontId="0" type="noConversion"/>
  </si>
  <si>
    <t>O'Brien 19967 in ATWP 2012</t>
    <phoneticPr fontId="0" type="noConversion"/>
  </si>
  <si>
    <t>Priston 2005 in ATWP 2012</t>
    <phoneticPr fontId="0" type="noConversion"/>
  </si>
  <si>
    <t>Krishnamani 1994 (data different in ATWP 2012!)</t>
    <phoneticPr fontId="0" type="noConversion"/>
  </si>
  <si>
    <t>Kumar 1987 in ATWP 2012</t>
    <phoneticPr fontId="0" type="noConversion"/>
  </si>
  <si>
    <t>Dittus 1974 in TWP 2012, dry weights percents</t>
    <phoneticPr fontId="0" type="noConversion"/>
  </si>
  <si>
    <t>Pombo et al. 2004, Riley 2007 in ATWP 2012</t>
    <phoneticPr fontId="0" type="noConversion"/>
  </si>
  <si>
    <t>Gonzalez-Krichner 1996 in ATWP 2012</t>
    <phoneticPr fontId="0" type="noConversion"/>
  </si>
  <si>
    <t>Lahm 1986 (fungi 2%, earth 2%), Hoshino 1985, Tutin 1997 in ATWP 2012</t>
    <phoneticPr fontId="0" type="noConversion"/>
  </si>
  <si>
    <t>ATWP 2011: Correa 2006, Tavares 2002, Veracini1997</t>
  </si>
  <si>
    <t xml:space="preserve">roughly </t>
  </si>
  <si>
    <t>HMW vol. 3</t>
  </si>
  <si>
    <t>Genin pers obs in ATWP 2012</t>
    <phoneticPr fontId="0" type="noConversion"/>
  </si>
  <si>
    <t>Genin 2001 in ATWP 2012, dry season</t>
    <phoneticPr fontId="0" type="noConversion"/>
  </si>
  <si>
    <t>Atsalis 1999 is not really useful</t>
  </si>
  <si>
    <t>Butynski in Enstam and Isbell 07 review</t>
    <phoneticPr fontId="0" type="noConversion"/>
  </si>
  <si>
    <t>Paciulli pers comm in ATWP 2011 (not found anymore 2012?)</t>
    <phoneticPr fontId="0" type="noConversion"/>
  </si>
  <si>
    <t>Kirkpatrick 07 review: Boonratana, Yeager, bennett in ATWP 2011</t>
  </si>
  <si>
    <t>Lan 1993, Chen 1995, Sheeran 1993 inATWP 2012</t>
    <phoneticPr fontId="0" type="noConversion"/>
  </si>
  <si>
    <t>Traeholt 2006 pers comm iin ATWP 2012</t>
  </si>
  <si>
    <t xml:space="preserve">Hu 1989 in Bartlett 07 review, </t>
    <phoneticPr fontId="0" type="noConversion"/>
  </si>
  <si>
    <t>Wiens 2003, other study: 71%fruit, 29% insects</t>
    <phoneticPr fontId="0" type="noConversion"/>
  </si>
  <si>
    <t>Streicher, Vietnam</t>
  </si>
  <si>
    <t>South Africa, Harcourt, Bearder, Crompton (Bearder 1974, Crompton 1984)</t>
    <phoneticPr fontId="0" type="noConversion"/>
  </si>
  <si>
    <t>Harcourt and Nash, Kenya</t>
  </si>
  <si>
    <t>Stumpf 07 review (leaves including terrHerbs), Badrian, Kano White in ATWP 2012</t>
    <phoneticPr fontId="0" type="noConversion"/>
  </si>
  <si>
    <t>Stumpf 07 review (leaves including terrHerbs), ATWP 2012 diverse</t>
    <phoneticPr fontId="0" type="noConversion"/>
  </si>
  <si>
    <t>Hill and Dunbar 2002 (seeds= subterranean foods)</t>
  </si>
  <si>
    <t>Hill and Dunbar 2002 (seeds= subterranean foods), and Altmann, BentleyCondit, Kamilar in ATWP 2012</t>
    <phoneticPr fontId="0" type="noConversion"/>
  </si>
  <si>
    <t>Sharman 1981 in ATWP 2012</t>
    <phoneticPr fontId="0" type="noConversion"/>
  </si>
  <si>
    <t>edwardsi, Gabon, Charles-Dominique</t>
  </si>
  <si>
    <t>Schülke 2003 in ATWP 2012</t>
    <phoneticPr fontId="0" type="noConversion"/>
  </si>
  <si>
    <t>Johns 1996, Peres 1993, 1.5% bark</t>
    <phoneticPr fontId="0" type="noConversion"/>
  </si>
  <si>
    <t>Palminteri iin press in ATWP 2012</t>
    <phoneticPr fontId="0" type="noConversion"/>
  </si>
  <si>
    <t>Soini 1986 in ATWP 2012</t>
    <phoneticPr fontId="0" type="noConversion"/>
  </si>
  <si>
    <t>Norconk 07 review (Norconk 2004, Homburg 1997)</t>
    <phoneticPr fontId="0" type="noConversion"/>
  </si>
  <si>
    <t>Morrogh-Bernard et al. 2009 (in Suaq, 2% of others attributed to flowers), and Fox 2004 in ATWP 2012</t>
    <phoneticPr fontId="0" type="noConversion"/>
  </si>
  <si>
    <t>Morrogh-Bernard et al. 2009 (only wurmbii, not morio), and diverse in ATWP 2012</t>
    <phoneticPr fontId="0" type="noConversion"/>
  </si>
  <si>
    <t>ATWP 2012</t>
    <phoneticPr fontId="0" type="noConversion"/>
  </si>
  <si>
    <t>Kirkpatrick 07 review, Sujatnika, Ruyinat, ATWP 2011</t>
  </si>
  <si>
    <t>Kirkpatrick 07 review</t>
  </si>
  <si>
    <t>Kirkpatrick 07 review, Davies 1988 in ATWP 2011</t>
  </si>
  <si>
    <t>Sterck 1995</t>
  </si>
  <si>
    <t>Fashing 07 review (herbs are here regrouped as leaves)</t>
  </si>
  <si>
    <t>Usongo 2001 in ATWP 2012</t>
    <phoneticPr fontId="0" type="noConversion"/>
  </si>
  <si>
    <t>Maisels 1994, Struhsaker 1975 (buds included in young leaves) in ATWP 2012</t>
    <phoneticPr fontId="0" type="noConversion"/>
  </si>
  <si>
    <t>Struhsaker 1975 is this subspecies, various other data in ATWP 2012</t>
    <phoneticPr fontId="0" type="noConversion"/>
  </si>
  <si>
    <t>Rowe 96, bamboo stems and pith (Tan 1999)</t>
  </si>
  <si>
    <t>Richard 1974 in ATWP 2012</t>
    <phoneticPr fontId="0" type="noConversion"/>
  </si>
  <si>
    <t>Irwin 2008, Powzyk 1997 for young and mature leaves</t>
  </si>
  <si>
    <t>single study, pristine forest</t>
  </si>
  <si>
    <t>Arrigo-Nelson 2006 PhD thesis in ATWP 2011</t>
  </si>
  <si>
    <t>Meyers 1993 PhD thesis in ATWP 2011</t>
  </si>
  <si>
    <t xml:space="preserve">Norscia etal 2006, Richard 1978, </t>
  </si>
  <si>
    <t>Lippold 1998, Pham Nat 2000 in ATWP 2011</t>
  </si>
  <si>
    <t>Hoang 2006 in ATWP 2011</t>
  </si>
  <si>
    <t>diverse in ATWP 2012</t>
    <phoneticPr fontId="0" type="noConversion"/>
  </si>
  <si>
    <t>Grueter et al. 2009, 66.9% lichens, 3.6% buds here included in leaves</t>
  </si>
  <si>
    <t>Bleisch 1998 in ATWP 2012, strange numbers</t>
    <phoneticPr fontId="0" type="noConversion"/>
  </si>
  <si>
    <t>Guo 2007 and Li ??? in ATWP 2011: lichens 36.12%  included in Leaves,buds 4.78% not , Bark 6.23% not included</t>
  </si>
  <si>
    <t>Egler 1992 in ATWP 2012, monthly data?</t>
    <phoneticPr fontId="0" type="noConversion"/>
  </si>
  <si>
    <t>Garber 1993, Digby et al. 07 review</t>
    <phoneticPr fontId="0" type="noConversion"/>
  </si>
  <si>
    <t>Garber 1980</t>
    <phoneticPr fontId="0" type="noConversion"/>
  </si>
  <si>
    <t>Porter 2000 in ATWP 2012</t>
    <phoneticPr fontId="0" type="noConversion"/>
  </si>
  <si>
    <t>Poveda 2004 in ATWP 2012, 1 bark</t>
    <phoneticPr fontId="0" type="noConversion"/>
  </si>
  <si>
    <t>Mittermeier and van Roosmalen 1981 (Surinam), Pack 1999, Youlatos 2004</t>
    <phoneticPr fontId="0" type="noConversion"/>
  </si>
  <si>
    <t>Garber, Peres in ATWP 2012 (includes S. mystax pileatus)</t>
    <phoneticPr fontId="0" type="noConversion"/>
  </si>
  <si>
    <t>Peres 1991 in ATWP 2012</t>
    <phoneticPr fontId="0" type="noConversion"/>
  </si>
  <si>
    <t>Oliveira 2000, Veracini 2001 in ATWP 2012, Digby review 2007</t>
    <phoneticPr fontId="0" type="noConversion"/>
  </si>
  <si>
    <t>de la Torre pers comm in ATWP 2012</t>
    <phoneticPr fontId="0" type="noConversion"/>
  </si>
  <si>
    <t>Kostrub 2003</t>
    <phoneticPr fontId="0" type="noConversion"/>
  </si>
  <si>
    <t>Soini 1986, 91% of plant food is fruits, 2% seeds, 6% nectar, 1% flowers!!! but also lots of insects</t>
  </si>
  <si>
    <t>Lima and Ferrari 2003, Mittermeier and van Roosmalen 1981 (Surinam), Boinski 2002 in ATWP 2012</t>
    <phoneticPr fontId="0" type="noConversion"/>
  </si>
  <si>
    <t>Pimley 2002, Cameroon from Nekaris review 2007 gives 55% fruits and 55% insects???</t>
  </si>
  <si>
    <t>Koenig 2001, Newton 1992</t>
  </si>
  <si>
    <t>König&amp;Borries 2001 in ATWP 2012</t>
    <phoneticPr fontId="0" type="noConversion"/>
  </si>
  <si>
    <t>Paciulli pers comm in ATWP 2012</t>
    <phoneticPr fontId="0" type="noConversion"/>
  </si>
  <si>
    <t>Gursky 07, Yustin in prep in ATWP 2012</t>
    <phoneticPr fontId="0" type="noConversion"/>
  </si>
  <si>
    <t>Merker 2007 pers comm in ATWP 2012</t>
    <phoneticPr fontId="0" type="noConversion"/>
  </si>
  <si>
    <t>Neri-Arboleda 2001 in ATWP 2012</t>
    <phoneticPr fontId="0" type="noConversion"/>
  </si>
  <si>
    <t>Gursky 1997</t>
    <phoneticPr fontId="0" type="noConversion"/>
  </si>
  <si>
    <t>Dunbar 1974, Hunter 2001 in ATWP 2011, young leaves is actually grass blades, roots, seeds and herbs)</t>
  </si>
  <si>
    <t>Kool 1993, Vogt 2003, Kool 1989, Beckwith 1995 in ATWP 2011</t>
  </si>
  <si>
    <t>Koenig 2004 in ATWP 2012</t>
    <phoneticPr fontId="0" type="noConversion"/>
  </si>
  <si>
    <t>Oates 1980, Ram unpublished, Sunderraj 2000 in ATWP 2011</t>
  </si>
  <si>
    <t>Kirkpatrick 07 review (Curtin 1978, MacKinnon 1980)</t>
    <phoneticPr fontId="0" type="noConversion"/>
  </si>
  <si>
    <t>Stanford 1988, Gupta 1994 in ATWP 2012</t>
    <phoneticPr fontId="0" type="noConversion"/>
  </si>
  <si>
    <t>Srivastava 2007, Stanford 1991 in ATWP 2012</t>
    <phoneticPr fontId="0" type="noConversion"/>
  </si>
  <si>
    <t>Kirkpatrick 07 review (Hladik 1977)</t>
    <phoneticPr fontId="0" type="noConversion"/>
  </si>
  <si>
    <t>Rigamonti 1993, Vasey 2004</t>
  </si>
  <si>
    <t>Morland 1991, Ratsimbazafy 2002, Balko 1998 in ATWP 2012</t>
    <phoneticPr fontId="0" type="noConversion"/>
  </si>
  <si>
    <t>Sleeping group size</t>
  </si>
  <si>
    <t>Foraging Group size: mean</t>
  </si>
  <si>
    <t>Group size: range</t>
  </si>
  <si>
    <t>23 to 57</t>
  </si>
  <si>
    <t>Gautier-Hion 1999 book</t>
  </si>
  <si>
    <t>2 to 6</t>
  </si>
  <si>
    <t>1 to 6</t>
  </si>
  <si>
    <t>Biebouw 2009, Garbut 2001, Meier and Albignac 1991 (ATWP)</t>
  </si>
  <si>
    <t>Crocket reports groups with a mean of 5.90 to 10.50 depending on habitat (5.9 gallery or 10.5 scrub woodland)</t>
  </si>
  <si>
    <t>5.9 to 10.50</t>
  </si>
  <si>
    <t>Crockett 1984, 1985, ATWP</t>
  </si>
  <si>
    <t>5 to 14</t>
  </si>
  <si>
    <t>Di Fiore and Campbell 07 (Bonvicino 1989, Emmons&amp;Feer 1997, Pinto et al. 2003, ATWP)</t>
  </si>
  <si>
    <t>2 to 21</t>
  </si>
  <si>
    <t>7 to 9</t>
  </si>
  <si>
    <t>2 to 11</t>
  </si>
  <si>
    <t>Palacios&amp;Rodriguez 2001</t>
  </si>
  <si>
    <t>6 to 15.58</t>
  </si>
  <si>
    <t>Julliot&amp;Sabatier 1993, Neville 1972, Nunes et al. 1988, Phillips&amp;Abercrombie 2003, Queiroz 1995, ATWP</t>
  </si>
  <si>
    <t>2 to 45</t>
  </si>
  <si>
    <t>2 to 9</t>
  </si>
  <si>
    <t>2 to 16</t>
  </si>
  <si>
    <t>2 to 12</t>
  </si>
  <si>
    <t>Goffard et all 2008</t>
  </si>
  <si>
    <t>Shanee unpublished, ATWP 2011</t>
  </si>
  <si>
    <t>2 to 5</t>
  </si>
  <si>
    <t>Sussman 2000</t>
  </si>
  <si>
    <t>adults sleep alone</t>
  </si>
  <si>
    <t>Nekaris &amp; Bearder 07</t>
  </si>
  <si>
    <t>16 to 28</t>
  </si>
  <si>
    <t>Symington 1988</t>
  </si>
  <si>
    <t>3 to 13</t>
  </si>
  <si>
    <t>Méndez-Carrvajal et all 2010, Rowe personal observation</t>
  </si>
  <si>
    <t>16 to 42</t>
  </si>
  <si>
    <t>2 to 8</t>
  </si>
  <si>
    <t>1 to 7</t>
  </si>
  <si>
    <t>subgroup counts, Guerrero 2007 in ATWP 2011</t>
  </si>
  <si>
    <t>15 to 20</t>
  </si>
  <si>
    <t>Thalmann&amp;Geismann 2000, Thalmann unpubl</t>
  </si>
  <si>
    <t>up to 5, pair with off</t>
  </si>
  <si>
    <t>1 to 4</t>
  </si>
  <si>
    <t>Ganzhorn 1985 in Nunn and van Schaik 02</t>
  </si>
  <si>
    <t>1 to 2</t>
  </si>
  <si>
    <t>Herrera et al. Unpubl</t>
  </si>
  <si>
    <t>7 to 43</t>
  </si>
  <si>
    <t>7-13: Di Fiore and Campbell 07; 43 Talebi 2005</t>
  </si>
  <si>
    <t>25 to 60, 3min to 80 max</t>
  </si>
  <si>
    <t>30+</t>
  </si>
  <si>
    <t>more than 30</t>
  </si>
  <si>
    <t>7 to 73</t>
  </si>
  <si>
    <t>Norconk 07 review, range in ATWP 2011</t>
  </si>
  <si>
    <t>2 to 200</t>
  </si>
  <si>
    <t>max. 4</t>
  </si>
  <si>
    <t>2 to 7</t>
  </si>
  <si>
    <t>3 to 5</t>
  </si>
  <si>
    <t>Sussman 2000, Norconk 07 review</t>
  </si>
  <si>
    <t>HMW vol. 3, 6.3 Porter 2006</t>
  </si>
  <si>
    <t>4 to 8</t>
  </si>
  <si>
    <t>3 to 16</t>
  </si>
  <si>
    <t>5 to 10</t>
  </si>
  <si>
    <t>5: Passamani, 8-10 Rowe 1996 in ATWP 2011</t>
  </si>
  <si>
    <t>Digby et al. 07 review for range, ATWP 2011 for average:Arruda 2005, Digby 1996, Koenig 1995, Mendes-Pontes 1995</t>
  </si>
  <si>
    <t>5 to 9</t>
  </si>
  <si>
    <t>Digby et al. 07 review, HMW vol. 3</t>
  </si>
  <si>
    <t>de la Torre in ATWP 2011; 5.1 HMW vol. 3</t>
  </si>
  <si>
    <t>15 to 35</t>
  </si>
  <si>
    <t>6 to 29</t>
  </si>
  <si>
    <t>ATWP 2011: Kessler, Gunst, Mittermeier&amp;van Roosmalen, Norconk</t>
  </si>
  <si>
    <t>12 to 27</t>
  </si>
  <si>
    <t>Jack 07 review</t>
  </si>
  <si>
    <t>Fragaszy pers comm in ATWP 2011</t>
  </si>
  <si>
    <t>ATWP 2011: Di Bitteti, Izar, Lynch</t>
  </si>
  <si>
    <t>12 to 50</t>
  </si>
  <si>
    <t>Robinson 1988</t>
  </si>
  <si>
    <t>Canale pers comm in ATWP 2011</t>
  </si>
  <si>
    <t>10 to 122</t>
  </si>
  <si>
    <t>ATWP: Jeffrey 1974, Magnuson 2002, Oates 1990, Range 2004</t>
  </si>
  <si>
    <t>6 to 62</t>
  </si>
  <si>
    <t>Homewood 1976, Kinnaird 1991, Wieczkowski unpubl in ATWP 2011</t>
  </si>
  <si>
    <t>14 to 60</t>
  </si>
  <si>
    <t xml:space="preserve"> Melnick and Pearl 87, and various in ATWP 2011</t>
  </si>
  <si>
    <t>15 to 50</t>
  </si>
  <si>
    <t>Cords, McGraw, Struhsaker in ATWP 2011</t>
  </si>
  <si>
    <t>7 to 33</t>
  </si>
  <si>
    <t>4 studies in ATWP 2011</t>
  </si>
  <si>
    <t>5 to 22</t>
  </si>
  <si>
    <t>Brugiere et al. 2002, Gautier Hion1999 for range, ATWP 2011</t>
  </si>
  <si>
    <t>20 to 27</t>
  </si>
  <si>
    <t>Whitesides 1989, Eckhardt 2002 in ATWP 2011</t>
  </si>
  <si>
    <t>4 to 30</t>
  </si>
  <si>
    <t>only range in Butynski 1994 in ATWP 2011</t>
    <phoneticPr fontId="0" type="noConversion"/>
  </si>
  <si>
    <t>23 to 37</t>
  </si>
  <si>
    <t>several in ATWP 2011</t>
  </si>
  <si>
    <t>17 to 45</t>
  </si>
  <si>
    <t>various in ATWP 2011</t>
  </si>
  <si>
    <t>13 to 47</t>
  </si>
  <si>
    <t>3 to 15</t>
  </si>
  <si>
    <t>7 to 60</t>
  </si>
  <si>
    <t>4 to 25</t>
  </si>
  <si>
    <t>9 to 53</t>
  </si>
  <si>
    <t>10 to 30</t>
  </si>
  <si>
    <t>2 adult plu off</t>
  </si>
  <si>
    <t>Gould and Sauther 07 review, HMW vol.3</t>
  </si>
  <si>
    <t>Gould and Sauther 07 review</t>
  </si>
  <si>
    <t>19 to 56</t>
  </si>
  <si>
    <t>Norconk 07 review, 56 in Pinto 2008 in ATWP 2011</t>
  </si>
  <si>
    <t>8 to 44</t>
  </si>
  <si>
    <t>17-39</t>
  </si>
  <si>
    <t>only range, fragmented forests, Ayres 1981</t>
    <phoneticPr fontId="0" type="noConversion"/>
  </si>
  <si>
    <t>3 to 22</t>
  </si>
  <si>
    <t>Zinner et al. 2002 (Eritrea) in ATWP 2011</t>
  </si>
  <si>
    <t>8 to 40</t>
  </si>
  <si>
    <t>4 to 174</t>
  </si>
  <si>
    <t>various in ATWP 2011 (Horrocks nnot included)</t>
  </si>
  <si>
    <t>2 to 300</t>
  </si>
  <si>
    <t>3 to 23</t>
  </si>
  <si>
    <t>11 to 19</t>
  </si>
  <si>
    <t>7 to 25</t>
  </si>
  <si>
    <t>4 to 33</t>
  </si>
  <si>
    <t>sometimes up to 4</t>
  </si>
  <si>
    <t>7 to 54</t>
  </si>
  <si>
    <t>diverse in ATWP 2011</t>
  </si>
  <si>
    <t>1 to22</t>
  </si>
  <si>
    <t>Vasey 1997 and Toborowsky 2006 in ATWP 2011</t>
  </si>
  <si>
    <t>4 to 13</t>
  </si>
  <si>
    <t>Donati 2002 in ATWP 2011</t>
  </si>
  <si>
    <t>5 to 15</t>
  </si>
  <si>
    <t>HMW vol. 3; Gould and Sauther 07 review</t>
  </si>
  <si>
    <t>2 to 15</t>
  </si>
  <si>
    <t>7 to 15, up to 40</t>
  </si>
  <si>
    <t>Rasmussen 1999, Gould and Sauther 07 review</t>
  </si>
  <si>
    <t>4 to 18</t>
  </si>
  <si>
    <t>Diverse in ATWP 2011, median 7-10 HMW vol. 3</t>
  </si>
  <si>
    <t>3 to 8</t>
  </si>
  <si>
    <t>2 to 4</t>
  </si>
  <si>
    <t>Overdorff and Tecot 2006 in ATWP 2011</t>
  </si>
  <si>
    <t>4 to 17</t>
  </si>
  <si>
    <t>8 to 14</t>
  </si>
  <si>
    <t>Gould and Sauther 07 review, Gerson 2001, CluttonBrock 1977, in ATWP 2011</t>
  </si>
  <si>
    <t>3 to 9, up to 15</t>
  </si>
  <si>
    <t>Nekaris &amp; Bearder 07, Ambrose 1999 in ATWP 2011</t>
  </si>
  <si>
    <t>1 to 3</t>
  </si>
  <si>
    <t>sometimes in pairs or trios</t>
  </si>
  <si>
    <t>Butynski 2004 in ATWP 2011</t>
  </si>
  <si>
    <t>1-8, 2 or more females/off with 1 male</t>
  </si>
  <si>
    <t>30% of the nights spent with other</t>
  </si>
  <si>
    <t>Nekaris &amp; Bearder 07, night: bearder 1972</t>
  </si>
  <si>
    <t>1 to 6, up to 9</t>
  </si>
  <si>
    <t>1 to 3, usually 1</t>
  </si>
  <si>
    <t>Haddow 1964, Nash 2008 in ATWP 2011</t>
  </si>
  <si>
    <t>1 or 2 fem/off with 1 male</t>
  </si>
  <si>
    <t>2 to 10, females/off, males often alone</t>
  </si>
  <si>
    <t>10% seen with other ind.</t>
  </si>
  <si>
    <t>HMW vo. 3</t>
  </si>
  <si>
    <t>15% seen with other ind.</t>
  </si>
  <si>
    <t>5 to 12 gather at dawn, Bearder 2003, Kingdon 1974 in ATWP 2011</t>
  </si>
  <si>
    <t>Ambrose 2008 in ATWP 2011</t>
  </si>
  <si>
    <t>pairs/off</t>
  </si>
  <si>
    <t>8%seen in pairs</t>
  </si>
  <si>
    <t>3 to 21</t>
  </si>
  <si>
    <t>3 to 9</t>
  </si>
  <si>
    <t>Gould and Sauther 07 review, HMW vol. 3</t>
  </si>
  <si>
    <t>HMW vol. 3, Gould and Sauther 07 review</t>
  </si>
  <si>
    <t>Gould and Sauther 07 review, ATWP 2011</t>
  </si>
  <si>
    <t>Rowe 96 ref 564</t>
  </si>
  <si>
    <t>3 to 10</t>
  </si>
  <si>
    <t>Tenaza 1975, Whittacker 2005 in ATWP 2011</t>
  </si>
  <si>
    <t>3 to 12</t>
  </si>
  <si>
    <t>3 to 4</t>
  </si>
  <si>
    <t>Nijman 2001 in ATWP 2011</t>
  </si>
  <si>
    <t>Phoonjampa ATWP 2011</t>
  </si>
  <si>
    <t>2 to 6 (adult pair plus offspring)</t>
  </si>
  <si>
    <t>44 to 49</t>
  </si>
  <si>
    <t>Di Fiore and Campbell 07, party size is 5.6-10.1 individuals, ATWP 2011</t>
  </si>
  <si>
    <t>13 to 45</t>
  </si>
  <si>
    <t>Di Fiore and Campbell 07 (diverse in ATWP 2011)</t>
    <phoneticPr fontId="0" type="noConversion"/>
  </si>
  <si>
    <t>12 to 24</t>
    <phoneticPr fontId="0" type="noConversion"/>
  </si>
  <si>
    <t>Di Fiore and Campbell 07 (Di Fiore 1997, 2001, Ramirez 1988)</t>
    <phoneticPr fontId="0" type="noConversion"/>
  </si>
  <si>
    <t>3 to 27, 6 to 24</t>
  </si>
  <si>
    <t>Gould and Sauther 07 review (diverse in ATWP 2011)</t>
    <phoneticPr fontId="0" type="noConversion"/>
  </si>
  <si>
    <t>3 to 7</t>
  </si>
  <si>
    <t>2 to 8, occ. 15</t>
  </si>
  <si>
    <t>Digby et al. 07 review, 5.4 from 22 groups Dietz 1993 in ATWP 2011</t>
    <phoneticPr fontId="0" type="noConversion"/>
  </si>
  <si>
    <t>sleeping groups</t>
  </si>
  <si>
    <t>pair or fem daughter pairs sleep together</t>
  </si>
  <si>
    <t>solit or pairs</t>
  </si>
  <si>
    <t>males often alone, females with offspring</t>
  </si>
  <si>
    <t>6 to 28</t>
  </si>
  <si>
    <t>diverse in ATWP 2011</t>
    <phoneticPr fontId="0" type="noConversion"/>
  </si>
  <si>
    <t>10 to 19</t>
    <phoneticPr fontId="0" type="noConversion"/>
  </si>
  <si>
    <t>Horn 1987, McGraw 1994 in ATWP 2011</t>
    <phoneticPr fontId="0" type="noConversion"/>
  </si>
  <si>
    <t>1-7, fem/off with 1 or more males, 1.4</t>
  </si>
  <si>
    <t>1 to 11</t>
    <phoneticPr fontId="0" type="noConversion"/>
  </si>
  <si>
    <t>ATWP 2011, 3 Nekaris &amp; Bearder 07</t>
    <phoneticPr fontId="0" type="noConversion"/>
  </si>
  <si>
    <t>HMW vol3</t>
  </si>
  <si>
    <t>1-4, fem/off with 1 male</t>
  </si>
  <si>
    <t>5 to 40</t>
  </si>
  <si>
    <t>Rowe 96 ref 898, Fooden 1990 give 15-25 approx.</t>
    <phoneticPr fontId="0" type="noConversion"/>
  </si>
  <si>
    <t>10 to 50</t>
  </si>
  <si>
    <t xml:space="preserve"> Melnick and Pearl 87, Fooden 1982, Chalise 2005, Wada 2005 in ATWP 2012</t>
    <phoneticPr fontId="0" type="noConversion"/>
  </si>
  <si>
    <t>9 to 86, up to 100</t>
    <phoneticPr fontId="0" type="noConversion"/>
  </si>
  <si>
    <t>Rowe 96 ref. 918</t>
  </si>
  <si>
    <t>10 to 48, up to 100</t>
  </si>
  <si>
    <t>Birky 2002, Lee 1990, Hsu 2001 in ATWP 2012</t>
    <phoneticPr fontId="0" type="noConversion"/>
  </si>
  <si>
    <t>27 to 194</t>
    <phoneticPr fontId="0" type="noConversion"/>
  </si>
  <si>
    <t xml:space="preserve"> Melnick and Pearl 87, Rowe 96 ref 898</t>
  </si>
  <si>
    <t>7 to 30</t>
    <phoneticPr fontId="0" type="noConversion"/>
  </si>
  <si>
    <t>only range, Watanabe 1994, 10-20 Riley 10 review</t>
    <phoneticPr fontId="0" type="noConversion"/>
  </si>
  <si>
    <t>15 to 40, 5 to 40 Watanabe 1996 in ATWP 2012</t>
    <phoneticPr fontId="0" type="noConversion"/>
  </si>
  <si>
    <t>Riley 10 review</t>
  </si>
  <si>
    <t>10 to 50, up to 242</t>
  </si>
  <si>
    <t xml:space="preserve"> Melnick and Pearl 87,Rowe 96 ref 745</t>
  </si>
  <si>
    <t>15 to 81</t>
    <phoneticPr fontId="0" type="noConversion"/>
  </si>
  <si>
    <t>Caldecott 1986, Oi 1990 in ATWP 2012; 18.3 Melnick and Pearl 87, Rowe 96 ref. 102</t>
    <phoneticPr fontId="0" type="noConversion"/>
  </si>
  <si>
    <t>50 to 97</t>
  </si>
  <si>
    <t>15 to 40, up to 95</t>
  </si>
  <si>
    <t xml:space="preserve"> Melnick and Pearl 87, Rowe 96 ref 898, 477</t>
  </si>
  <si>
    <t>21 Melnick and Pearl 87, Rowe 96 ref704, 19 Kumar 2006 in ATWP 2012</t>
    <phoneticPr fontId="0" type="noConversion"/>
  </si>
  <si>
    <t>8 to 51</t>
    <phoneticPr fontId="0" type="noConversion"/>
  </si>
  <si>
    <t>including neonates, Dittus 1974</t>
    <phoneticPr fontId="0" type="noConversion"/>
  </si>
  <si>
    <t>12 to 59</t>
  </si>
  <si>
    <t>Rowe 96 ref 545</t>
  </si>
  <si>
    <t>10 to 60</t>
    <phoneticPr fontId="0" type="noConversion"/>
  </si>
  <si>
    <t>Fooden 1985 in ATWP 2012</t>
    <phoneticPr fontId="0" type="noConversion"/>
  </si>
  <si>
    <t>6 to 35</t>
  </si>
  <si>
    <t>14 to 179</t>
  </si>
  <si>
    <t>Gartlan 1970, Astaras 2007 in ATWP 2012</t>
    <phoneticPr fontId="0" type="noConversion"/>
  </si>
  <si>
    <t>602 horde size</t>
    <phoneticPr fontId="0" type="noConversion"/>
  </si>
  <si>
    <t>2 to 250</t>
  </si>
  <si>
    <t>Harrison 1988</t>
    <phoneticPr fontId="0" type="noConversion"/>
  </si>
  <si>
    <t>4 to 11</t>
  </si>
  <si>
    <t>8 to 15</t>
  </si>
  <si>
    <t>HMW vol. 3; Ayres 1981, Branch 1983</t>
  </si>
  <si>
    <t>HMW vol 3</t>
  </si>
  <si>
    <t>1 to 12, females sleeping groups more often than males, HMW vol 3</t>
  </si>
  <si>
    <t>1 to 15, 2 or more female raise young together  HMW vol 3</t>
  </si>
  <si>
    <t>range 1-15, Gould and Sauther 07 review</t>
    <phoneticPr fontId="0" type="noConversion"/>
  </si>
  <si>
    <t>40 to 112</t>
    <phoneticPr fontId="0" type="noConversion"/>
  </si>
  <si>
    <t xml:space="preserve"> Melnick and Pearl 87, Rowe 96 ref 601, diverse in ATWP 2012</t>
    <phoneticPr fontId="0" type="noConversion"/>
  </si>
  <si>
    <t>2 to 20 Kirkpatrick 2007, no sleeping groups HMW vol. 3</t>
  </si>
  <si>
    <t>1 to 4, HMW vol. 3</t>
  </si>
  <si>
    <t>9 to 17</t>
  </si>
  <si>
    <t>2 to 10</t>
    <phoneticPr fontId="0" type="noConversion"/>
  </si>
  <si>
    <t>Rowe 96 ref 749</t>
  </si>
  <si>
    <t>2 to 7</t>
    <phoneticPr fontId="0" type="noConversion"/>
  </si>
  <si>
    <t>Kenyon, Rawson and Traeholt in ATWP 2012</t>
    <phoneticPr fontId="0" type="noConversion"/>
  </si>
  <si>
    <t>3 to 5</t>
    <phoneticPr fontId="0" type="noConversion"/>
  </si>
  <si>
    <t>Geissmann 2000 in ATWP 2012</t>
    <phoneticPr fontId="0" type="noConversion"/>
  </si>
  <si>
    <t>1_2</t>
    <phoneticPr fontId="0" type="noConversion"/>
  </si>
  <si>
    <t>Fitch Snyder unpubl in ATWP 2012; 3/32 found in pairs</t>
    <phoneticPr fontId="0" type="noConversion"/>
  </si>
  <si>
    <t>1-3, fem/off with sometimes 1 male</t>
  </si>
  <si>
    <t>96% alone</t>
  </si>
  <si>
    <t>FitchSnyder unpubl in ATWP 2012, HMW vol3</t>
  </si>
  <si>
    <t>1 to 4, pair with off, males sleep alone, fem 2-6</t>
  </si>
  <si>
    <t>1 to 4, males alone, fem with off</t>
  </si>
  <si>
    <t>4.8, 6.2 party size</t>
    <phoneticPr fontId="0" type="noConversion"/>
  </si>
  <si>
    <t>community group size, Stumpf 07 review</t>
  </si>
  <si>
    <t>16 to 140</t>
  </si>
  <si>
    <t>17 to 140</t>
  </si>
  <si>
    <t>7 to 198</t>
  </si>
  <si>
    <t>Melnick and Pearl 87, Rowe 96 ref 898</t>
  </si>
  <si>
    <t>9_102; band up to 220</t>
    <phoneticPr fontId="0" type="noConversion"/>
  </si>
  <si>
    <t>Biquand 1992 in ATWP 2012</t>
    <phoneticPr fontId="0" type="noConversion"/>
  </si>
  <si>
    <t>22_249, third level groups</t>
    <phoneticPr fontId="0" type="noConversion"/>
  </si>
  <si>
    <t>Glat-Luong 2006</t>
    <phoneticPr fontId="0" type="noConversion"/>
  </si>
  <si>
    <t>20 to 50, up to 128</t>
  </si>
  <si>
    <t>Melnick and Pearl 87, Rowe 96 ref 898, Henzi 1999 N=76 in 13 populations</t>
    <phoneticPr fontId="0" type="noConversion"/>
  </si>
  <si>
    <t>males in Gabon alone, 26% pairs in Cameroon</t>
  </si>
  <si>
    <t>pair with off</t>
  </si>
  <si>
    <t>2 to 5</t>
    <phoneticPr fontId="0" type="noConversion"/>
  </si>
  <si>
    <t>CharlesDominique 1980, Schülke 2003 in ATWP 2012</t>
    <phoneticPr fontId="0" type="noConversion"/>
  </si>
  <si>
    <t>Norconk 07 review (Ferrari 1999, Peres 1993)</t>
    <phoneticPr fontId="0" type="noConversion"/>
  </si>
  <si>
    <t>2 to 8</t>
    <phoneticPr fontId="0" type="noConversion"/>
  </si>
  <si>
    <t>1 to 12</t>
  </si>
  <si>
    <t>van Schaik 1999</t>
    <phoneticPr fontId="0" type="noConversion"/>
  </si>
  <si>
    <t>1.5 Nunn and van Schaik 02, diverse in ATWP 2012</t>
    <phoneticPr fontId="0" type="noConversion"/>
  </si>
  <si>
    <t>4 to 20</t>
  </si>
  <si>
    <t>Kirkpatrick 07 review, range: ATWP 2011</t>
  </si>
  <si>
    <t>2 to 10</t>
  </si>
  <si>
    <t>Suzuki1984  in ATWP 2011</t>
  </si>
  <si>
    <t>6 to 14</t>
  </si>
  <si>
    <t>4 to 12</t>
  </si>
  <si>
    <t>Nunn and van Schaik 02, range ATWP 2011</t>
  </si>
  <si>
    <t>3 Kirkpatrick 07 review, range Sasimar 2004 PhD thesis in ATWP 2011</t>
  </si>
  <si>
    <t>ATWP 2011 (Kirkpatrick 07 review: 6)</t>
  </si>
  <si>
    <t>14 to 16</t>
  </si>
  <si>
    <t>3 to 11</t>
  </si>
  <si>
    <t>Steenbeek and van Schaik 2001, 8 Kirkpatrick 07 review</t>
  </si>
  <si>
    <t>14 to 32</t>
  </si>
  <si>
    <t>34.1 Fashing 07 review, ATWP diverse 2011</t>
  </si>
  <si>
    <t>20 to 65</t>
  </si>
  <si>
    <t>15 to 80</t>
  </si>
  <si>
    <t>20 to 64</t>
    <phoneticPr fontId="0" type="noConversion"/>
  </si>
  <si>
    <t>Usongo 2001, Waltert 2002 in ATWP 2012</t>
    <phoneticPr fontId="0" type="noConversion"/>
  </si>
  <si>
    <t>2 to 50</t>
    <phoneticPr fontId="0" type="noConversion"/>
  </si>
  <si>
    <t>4 to 12, up to 28</t>
  </si>
  <si>
    <t>Petter 1962, Richard 1974 in ATWP 2012, range HMW 3</t>
  </si>
  <si>
    <t>Mittermeier2006 in ATWP 2011</t>
  </si>
  <si>
    <t xml:space="preserve">3 to 8, at least 8 </t>
  </si>
  <si>
    <t>Gould and Sauther 07 review, HMW 3</t>
  </si>
  <si>
    <t>3 to10</t>
  </si>
  <si>
    <t>2 to 14</t>
  </si>
  <si>
    <t>15.5, wide range</t>
  </si>
  <si>
    <t>9 Kirkpatrick 07 review,15.5  Lippold 1977 in ATWP 2011</t>
  </si>
  <si>
    <t>Hoang 2003 in ATWP 2011</t>
  </si>
  <si>
    <t>band size 175-407</t>
  </si>
  <si>
    <t>Kirkpatrick 07 review, Grueter et al. 2009</t>
  </si>
  <si>
    <t>band size 340</t>
  </si>
  <si>
    <t>2 to 11</t>
    <phoneticPr fontId="0" type="noConversion"/>
  </si>
  <si>
    <t>Vidal 2008, Bocorni de Azevedo pers comm in ATWP 2012</t>
    <phoneticPr fontId="0" type="noConversion"/>
  </si>
  <si>
    <t>diverse ATWP 2012, 6 Digby et al. 07 review</t>
    <phoneticPr fontId="0" type="noConversion"/>
  </si>
  <si>
    <t>2 to 19</t>
    <phoneticPr fontId="0" type="noConversion"/>
  </si>
  <si>
    <t>Dawson 1978, Lindsay 1980 in ATWP 2012</t>
    <phoneticPr fontId="0" type="noConversion"/>
  </si>
  <si>
    <t>2 to 13, 4-10</t>
  </si>
  <si>
    <t>BuchananSmith 2000 in ATWP 2012, HMW vol. 3</t>
  </si>
  <si>
    <t>2 to 9</t>
    <phoneticPr fontId="0" type="noConversion"/>
  </si>
  <si>
    <t>Defler 2004, Green 1978 in ATWP 2012</t>
    <phoneticPr fontId="0" type="noConversion"/>
  </si>
  <si>
    <t>2 to 12</t>
    <phoneticPr fontId="0" type="noConversion"/>
  </si>
  <si>
    <t>diverse ATWP 2012</t>
    <phoneticPr fontId="0" type="noConversion"/>
  </si>
  <si>
    <t>sleep alone</t>
  </si>
  <si>
    <t>1 to 16</t>
    <phoneticPr fontId="0" type="noConversion"/>
  </si>
  <si>
    <t>Castro 1991, Peres pers comm in ATWP 2012</t>
    <phoneticPr fontId="0" type="noConversion"/>
  </si>
  <si>
    <t>Savage 1996, in ATWP 2012, 6 Digby et al. 07 review, HMW vol.3</t>
  </si>
  <si>
    <t>4 to 10</t>
  </si>
  <si>
    <t>45 to 75</t>
  </si>
  <si>
    <t>35 to 65</t>
  </si>
  <si>
    <t>Jack 07 review (from Wong 1990)</t>
    <phoneticPr fontId="0" type="noConversion"/>
  </si>
  <si>
    <t>38-76</t>
  </si>
  <si>
    <t>HMW vol. 3, two groups</t>
  </si>
  <si>
    <t>20-50</t>
  </si>
  <si>
    <t>males alone, fem  3-6</t>
  </si>
  <si>
    <t>50% of time with others</t>
  </si>
  <si>
    <t>Nekaris &amp; Bearder 07, HMW vol. 3</t>
  </si>
  <si>
    <t xml:space="preserve">males usually alone, fem 2-3 plus offspring </t>
  </si>
  <si>
    <t>19 to 54, 15 to 81</t>
  </si>
  <si>
    <t>Kirkpatrick 07 review, range ATWP 2011</t>
  </si>
  <si>
    <t>12.3 to 83</t>
  </si>
  <si>
    <t xml:space="preserve">only range, Boggess 1980,Sugyjama 1976 in ATWP 2011 </t>
    <phoneticPr fontId="0" type="noConversion"/>
  </si>
  <si>
    <t>Muckenhirn 1972, Ross 1993 in ATWP 2012</t>
    <phoneticPr fontId="0" type="noConversion"/>
  </si>
  <si>
    <t>12.3 to 43</t>
    <phoneticPr fontId="0" type="noConversion"/>
  </si>
  <si>
    <t>1 to 8</t>
    <phoneticPr fontId="0" type="noConversion"/>
  </si>
  <si>
    <t>mother/off</t>
  </si>
  <si>
    <t>harem size</t>
  </si>
  <si>
    <t>30-300 band, 3-20 reproductive unit</t>
  </si>
  <si>
    <t>ATWP 2011 diverse, band size</t>
  </si>
  <si>
    <t>Kool 1989, Vogt 2003 in ATWP 2011</t>
  </si>
  <si>
    <t>12 to 35</t>
  </si>
  <si>
    <t>Kirkpatrick 07 review, 11.9 Wilson and Wilson 1976, 28.8 Wolf 1984 in ATWP 2011</t>
  </si>
  <si>
    <t>7 to 11</t>
  </si>
  <si>
    <t>Kirkpatrick 07 review, 7.9 Biswas unpublished dissertation 2002 in ATWP 2011</t>
  </si>
  <si>
    <t>3 to 25</t>
  </si>
  <si>
    <t>ATWP 2011, diverse</t>
  </si>
  <si>
    <t>Bernstein 1967, Curtin 1978, MacKinnon 19080 in ATWP 2012</t>
    <phoneticPr fontId="0" type="noConversion"/>
  </si>
  <si>
    <t>5 to 15</t>
    <phoneticPr fontId="0" type="noConversion"/>
  </si>
  <si>
    <t>8 to 10</t>
  </si>
  <si>
    <t>diverse in ATWP 2012, 9 Kirkpatrick 07 review</t>
    <phoneticPr fontId="0" type="noConversion"/>
  </si>
  <si>
    <t>1 to 18</t>
    <phoneticPr fontId="0" type="noConversion"/>
  </si>
  <si>
    <t>8.5 to 11</t>
    <phoneticPr fontId="0" type="noConversion"/>
  </si>
  <si>
    <t>Dela 1998, Rudran 1973 in ATWP 2012</t>
    <phoneticPr fontId="0" type="noConversion"/>
  </si>
  <si>
    <t>Gould and Sauther 07 review, Rigamonti 1993 iin ATWP 2012</t>
    <phoneticPr fontId="0" type="noConversion"/>
  </si>
  <si>
    <t>2 to  16</t>
    <phoneticPr fontId="0" type="noConversion"/>
  </si>
  <si>
    <t>Gould and Sauther 07 review, Balko 1998 in ATWP 2012</t>
    <phoneticPr fontId="0" type="noConversion"/>
  </si>
  <si>
    <t>Day range (m)</t>
  </si>
  <si>
    <t>HR size average</t>
  </si>
  <si>
    <t>HR range</t>
  </si>
  <si>
    <t>2 to 7.5, 5.4-15.4 HMW vol. 3</t>
  </si>
  <si>
    <t>Biebouw 2009 (95% Kernel, ATWP)</t>
  </si>
  <si>
    <t>7.52 to 30</t>
  </si>
  <si>
    <t>Crockett 1984</t>
  </si>
  <si>
    <t>4.7 to 63.2</t>
  </si>
  <si>
    <t>Di Fiore and Campbell 07 (Bonvicino 1989, Jardim 1997, Pina 1989, Pinto et al. 2003, ATWP)</t>
  </si>
  <si>
    <t>1.7 to 9.7</t>
  </si>
  <si>
    <t>Di Fiore and Campbell 07 (Ludwig 2006, Bravo and Sallenave 2003, ATWP)</t>
  </si>
  <si>
    <t>4.1 and 7.9</t>
  </si>
  <si>
    <t>Di Fiore and Campbell 07, (Bicca-Marques 2003, ATWP)</t>
  </si>
  <si>
    <t>checked ref, actually 182ha Palacios&amp;Rodriguez 2001, ATWP</t>
  </si>
  <si>
    <t>6.62 to 45</t>
  </si>
  <si>
    <t>Julliot 1997, Neville 1972, Queiroz 1995, ATWP</t>
  </si>
  <si>
    <t>9.9 to 108</t>
  </si>
  <si>
    <t>0.48 to 24.5</t>
  </si>
  <si>
    <t>3.9 to 182</t>
  </si>
  <si>
    <t>Shanee 2011 in ATWP 2011</t>
  </si>
  <si>
    <t>3.1 to 14</t>
  </si>
  <si>
    <t>6 to 12</t>
  </si>
  <si>
    <t>Sussman 2000, Wright 1996</t>
  </si>
  <si>
    <t>85 to 388</t>
  </si>
  <si>
    <t>192 (he9</t>
  </si>
  <si>
    <t>Méndez-Carvajal 2008</t>
  </si>
  <si>
    <t>Di Fiore and Campbell 07 ( (For Day Range:Campbell 2000,Chapman et all 1989, Ramos-Fernández 2003)</t>
  </si>
  <si>
    <t>about 2</t>
  </si>
  <si>
    <t>Thalmann unpubl</t>
  </si>
  <si>
    <t>1 to 4, 1.4</t>
  </si>
  <si>
    <t>Gould and Sauther 07 review, Harcourt 2009</t>
  </si>
  <si>
    <t>Thalmann 2002, Warren&amp;Crompton 1997</t>
  </si>
  <si>
    <t>Harcourt 1991</t>
  </si>
  <si>
    <t>up to 300</t>
  </si>
  <si>
    <t>168-309</t>
  </si>
  <si>
    <t>500 to 550</t>
  </si>
  <si>
    <t>9 to 22</t>
  </si>
  <si>
    <t>6 to 18</t>
  </si>
  <si>
    <t>30 to 150</t>
  </si>
  <si>
    <t>HMW vol. 3, Christen 1999, Poerter 2001a, Pook 1981</t>
  </si>
  <si>
    <t>11 to 40</t>
  </si>
  <si>
    <t>23.3-34.2</t>
  </si>
  <si>
    <t>Abbehusen, Passamani in ATWP 2011, HMW vol.3</t>
  </si>
  <si>
    <t>2.9-6.6</t>
  </si>
  <si>
    <t>3.5 to 18</t>
  </si>
  <si>
    <t>Faria 1986 (Digby et al. 2007 review), and Miranda 2001 in ATWP 2011</t>
  </si>
  <si>
    <t>0.1 to 1.09</t>
  </si>
  <si>
    <t>115 to 300</t>
  </si>
  <si>
    <t>Kaplan 2000</t>
  </si>
  <si>
    <t>80 to 355</t>
  </si>
  <si>
    <t>ATWP 2011: Mittermeier&amp;van Roosmalen, Zhang</t>
  </si>
  <si>
    <t>32 to 300</t>
  </si>
  <si>
    <t>ATWP 2011: Di Bitetti, Izar, Rimoli</t>
  </si>
  <si>
    <t>Robinson 1986</t>
  </si>
  <si>
    <t>400 to 600</t>
  </si>
  <si>
    <t>Rutte 1998 in ATWP 2011 (5sqkm)</t>
  </si>
  <si>
    <t>17 to 101</t>
  </si>
  <si>
    <t>200- 247.4</t>
  </si>
  <si>
    <t>max 247 from Mitani 89, Cooke in ATWP 2011</t>
  </si>
  <si>
    <t>19 to 68</t>
  </si>
  <si>
    <t>Cords, Gathua, Struhsaker in ATWP 2011</t>
  </si>
  <si>
    <t>52-67</t>
  </si>
  <si>
    <t>Buzzard 2006 in ATWP 2011</t>
  </si>
  <si>
    <t>30 to 100</t>
  </si>
  <si>
    <t>Tutin, Gautier-Hion, in ATWP 2011</t>
  </si>
  <si>
    <t>29 to 67</t>
  </si>
  <si>
    <t>Whitesides 1989, Holenweg 1996, Eckhardt 2002 in ATWP 2011</t>
  </si>
  <si>
    <t>33.6 to 70.84</t>
  </si>
  <si>
    <t>1 to 335</t>
  </si>
  <si>
    <t>25 to 100</t>
  </si>
  <si>
    <t>Howard 1977 in ATWP 2011</t>
  </si>
  <si>
    <t>Gautier Hion in ATWP 2011</t>
  </si>
  <si>
    <t>119 to 148</t>
  </si>
  <si>
    <t>mixed group</t>
  </si>
  <si>
    <t>41 to 94</t>
  </si>
  <si>
    <t>55 to 100</t>
  </si>
  <si>
    <t>GautierHion 1988</t>
  </si>
  <si>
    <t>Wright &amp;Martin 1995</t>
  </si>
  <si>
    <t>1.56-4</t>
  </si>
  <si>
    <t>250 to 1000</t>
  </si>
  <si>
    <t>Norconk 07 review, 1000 Pinto 2008</t>
  </si>
  <si>
    <t>180 to 250</t>
  </si>
  <si>
    <t>200 to 250</t>
  </si>
  <si>
    <t>Kaplan 2000 van Roosmalen 1988</t>
  </si>
  <si>
    <t>23 to 60</t>
  </si>
  <si>
    <t>15 to 164</t>
  </si>
  <si>
    <t>371 to 2440</t>
  </si>
  <si>
    <t>8 to 100</t>
  </si>
  <si>
    <t>24 to 77</t>
  </si>
  <si>
    <t>60 to 573</t>
  </si>
  <si>
    <t>9 to 48</t>
  </si>
  <si>
    <t>1-2km f, 2.2-4.4km males</t>
  </si>
  <si>
    <t>31.7 to 214.6</t>
  </si>
  <si>
    <t>Gould and Sauther 07 review, HMW3</t>
  </si>
  <si>
    <t>2340 to 5200</t>
  </si>
  <si>
    <t>Vasey 1997</t>
  </si>
  <si>
    <t>Donati 2002 in ATWP (primary forest)</t>
  </si>
  <si>
    <t>6.5-15.5</t>
  </si>
  <si>
    <t>Gould and Sauther 07 review, Arbelot, Freed in ATWP 2011</t>
  </si>
  <si>
    <t>7 to 20</t>
  </si>
  <si>
    <t>3.5 to 23.8</t>
  </si>
  <si>
    <t>Diverse in ATWP 2011</t>
  </si>
  <si>
    <t>1.62 to 5.47</t>
  </si>
  <si>
    <t>26 to 100</t>
  </si>
  <si>
    <t>HMW vol. 3, east and west</t>
  </si>
  <si>
    <t>90 to 1000</t>
  </si>
  <si>
    <t>Gould and Sauther 07 review, ATWP says less than 1HA!!!</t>
  </si>
  <si>
    <t>up to 22.9</t>
  </si>
  <si>
    <t>Nekaris &amp; Bearder 07 (Pullen 2000 gives 7.2 for males, and 4.6 for females)</t>
  </si>
  <si>
    <t>Bearder 1987</t>
  </si>
  <si>
    <t>Sussman 2000 from Harcourt and Bearder 89</t>
  </si>
  <si>
    <t>300 to 4000</t>
  </si>
  <si>
    <t>Robbins 07 review</t>
  </si>
  <si>
    <t>1100 to 2200</t>
  </si>
  <si>
    <t>Robbins 07 review, ATWP 2011</t>
  </si>
  <si>
    <t>1 to 8</t>
  </si>
  <si>
    <t>26 to 80</t>
  </si>
  <si>
    <t>HMW vol. 3Gould and Sauther 07 review</t>
  </si>
  <si>
    <t>6 to 20</t>
  </si>
  <si>
    <t>12 to 53.5</t>
  </si>
  <si>
    <t>Bartlett 07 review (Chivers 1984)</t>
  </si>
  <si>
    <t>17.5 (fragmented forests), 34 to 40(pristine forests)</t>
  </si>
  <si>
    <t>Gould and Sauther 07 review, HHMW3</t>
  </si>
  <si>
    <t>Di Fiore and Campbell 07 (Peres 1996)</t>
    <phoneticPr fontId="0" type="noConversion"/>
  </si>
  <si>
    <t>350 to 760</t>
  </si>
  <si>
    <t>Di Fiore and Campbell 07 (Zarate 2009, Defler 1996, Gonzalez 2006 in ATWP 2011)</t>
    <phoneticPr fontId="0" type="noConversion"/>
  </si>
  <si>
    <t>108 to 400</t>
  </si>
  <si>
    <t>Di Fiore and Campbell 07 (Di Fiore 2003)</t>
    <phoneticPr fontId="0" type="noConversion"/>
  </si>
  <si>
    <t>5.7 to 35</t>
    <phoneticPr fontId="0" type="noConversion"/>
  </si>
  <si>
    <t>Gould and Sauther 07 review (Jolly 1993, Sussman 1991 in ATWP 2011)</t>
    <phoneticPr fontId="0" type="noConversion"/>
  </si>
  <si>
    <t>N=7 groups, HMW vol. 3</t>
  </si>
  <si>
    <t>40 to 200</t>
  </si>
  <si>
    <t>21.3 to 73</t>
    <phoneticPr fontId="0" type="noConversion"/>
  </si>
  <si>
    <t>Dietz 1997 in ATWP 2011</t>
    <phoneticPr fontId="0" type="noConversion"/>
  </si>
  <si>
    <t>0.18 to 0.3</t>
  </si>
  <si>
    <t>0.66 to 0.99</t>
  </si>
  <si>
    <t>0.5 to 1.5</t>
  </si>
  <si>
    <t>13 to 26, 410, 200-300</t>
  </si>
  <si>
    <t>Freeland 1979, Olupot 1994, Waser 1975, Shah 2003 in ATWP 2011</t>
    <phoneticPr fontId="0" type="noConversion"/>
  </si>
  <si>
    <t>48 to 70</t>
  </si>
  <si>
    <t>Horn 1987</t>
    <phoneticPr fontId="0" type="noConversion"/>
  </si>
  <si>
    <t>Bernede in prep in ATWP 2012</t>
    <phoneticPr fontId="0" type="noConversion"/>
  </si>
  <si>
    <t>Rowe 96</t>
  </si>
  <si>
    <t>140 to 1400</t>
  </si>
  <si>
    <t>Rowe 96 ref 918</t>
  </si>
  <si>
    <t>25 to 200</t>
  </si>
  <si>
    <t>Rowe 96 ref 898, Fooden 2011 in ATWP 2012</t>
    <phoneticPr fontId="0" type="noConversion"/>
  </si>
  <si>
    <t>101 to 797</t>
    <phoneticPr fontId="0" type="noConversion"/>
  </si>
  <si>
    <t>Melnick and Pearl 1987, Takasaki 1981 in ATWP 2012</t>
    <phoneticPr fontId="0" type="noConversion"/>
  </si>
  <si>
    <t>83-347</t>
    <phoneticPr fontId="0" type="noConversion"/>
  </si>
  <si>
    <t xml:space="preserve">20 to 30, </t>
    <phoneticPr fontId="0" type="noConversion"/>
  </si>
  <si>
    <t>0.01 to 400</t>
  </si>
  <si>
    <t>larger in forest, Seth 1986;Rowe 96 ref 745</t>
  </si>
  <si>
    <t>62 to 828</t>
  </si>
  <si>
    <t>ATWP 2012, Rowe 96 ref. 102</t>
    <phoneticPr fontId="0" type="noConversion"/>
  </si>
  <si>
    <t>114 to 341</t>
  </si>
  <si>
    <t>ATWP 2012, Riley 10 review</t>
    <phoneticPr fontId="0" type="noConversion"/>
  </si>
  <si>
    <t>40-200, up to 518</t>
  </si>
  <si>
    <t>Rowe 96 ref. 477,898, Melnick and Pearl 1987</t>
  </si>
  <si>
    <t>100 to 500</t>
  </si>
  <si>
    <t>Rowe 96 ref 476, 967, Kurup and Kumar 1993</t>
  </si>
  <si>
    <t>200-720</t>
    <phoneticPr fontId="0" type="noConversion"/>
  </si>
  <si>
    <t>Camperio Ciani 2003 in ATWP 2012</t>
    <phoneticPr fontId="0" type="noConversion"/>
  </si>
  <si>
    <t>Rowe 96 ref 928</t>
  </si>
  <si>
    <t>44.5 to 143</t>
  </si>
  <si>
    <t>4000 to 5000</t>
  </si>
  <si>
    <t>1000 to 5000</t>
  </si>
  <si>
    <t>4 to 35</t>
  </si>
  <si>
    <t>0.33 to 0.55</t>
  </si>
  <si>
    <t>Gould and Sauther 07 review, Page 1988</t>
    <phoneticPr fontId="0" type="noConversion"/>
  </si>
  <si>
    <t>122, 400 to 500</t>
  </si>
  <si>
    <t>Rowe 96 ref. 601, 903, Gautier Hion 1973</t>
    <phoneticPr fontId="0" type="noConversion"/>
  </si>
  <si>
    <t>1 to 20</t>
  </si>
  <si>
    <t>Kirkpatrick 07 review, HMW vol. 3</t>
  </si>
  <si>
    <t>130 to 900</t>
  </si>
  <si>
    <t>Kirkpatrick 07 review, ATWP 2011</t>
  </si>
  <si>
    <t>up to 500</t>
  </si>
  <si>
    <t>Kenyon in press in ATWP 2012</t>
    <phoneticPr fontId="0" type="noConversion"/>
  </si>
  <si>
    <t>3.4_14.8</t>
    <phoneticPr fontId="0" type="noConversion"/>
  </si>
  <si>
    <t>Wiens and Zitzmann 03b (in Nek&amp;Bearder 07)</t>
  </si>
  <si>
    <t>25-32</t>
  </si>
  <si>
    <t>0.1-3.1</t>
    <phoneticPr fontId="0" type="noConversion"/>
  </si>
  <si>
    <t>Nekaris &amp; Bearder 07 (Nash and Harcourt 1986)</t>
    <phoneticPr fontId="0" type="noConversion"/>
  </si>
  <si>
    <t>2200-5800</t>
    <phoneticPr fontId="0" type="noConversion"/>
  </si>
  <si>
    <t>Stumpf 07 review</t>
  </si>
  <si>
    <t>400 to 5000</t>
  </si>
  <si>
    <t>390 to 4357</t>
    <phoneticPr fontId="0" type="noConversion"/>
  </si>
  <si>
    <t>518 to 2408</t>
  </si>
  <si>
    <t>Melnick and Pearl 1987</t>
  </si>
  <si>
    <t>900-3860</t>
    <phoneticPr fontId="0" type="noConversion"/>
  </si>
  <si>
    <t>Sigg and Stolba 1981; Swedell Folia 2002, Schreier 2009 in ATWP 2012</t>
    <phoneticPr fontId="0" type="noConversion"/>
  </si>
  <si>
    <t>2000 to 4500</t>
    <phoneticPr fontId="0" type="noConversion"/>
  </si>
  <si>
    <t>910 to 3370</t>
  </si>
  <si>
    <t>Melnick and Pearl 1987, diverse in ATWP 2012</t>
    <phoneticPr fontId="0" type="noConversion"/>
  </si>
  <si>
    <t>145.2 with MCP</t>
  </si>
  <si>
    <t>(Pimley et al. 2005)</t>
    <phoneticPr fontId="0" type="noConversion"/>
  </si>
  <si>
    <t>4 to 5.01, 3-10 HMW vol.3</t>
  </si>
  <si>
    <t>9.7_40</t>
    <phoneticPr fontId="0" type="noConversion"/>
  </si>
  <si>
    <t>Soini 1986</t>
    <phoneticPr fontId="0" type="noConversion"/>
  </si>
  <si>
    <t>10.3 to 15, 34.6 Vie 2001 in ATWP 2012</t>
    <phoneticPr fontId="0" type="noConversion"/>
  </si>
  <si>
    <t>200 to 2500</t>
    <phoneticPr fontId="0" type="noConversion"/>
  </si>
  <si>
    <t>Singleton 2001</t>
    <phoneticPr fontId="0" type="noConversion"/>
  </si>
  <si>
    <t>&gt;1000</t>
    <phoneticPr fontId="0" type="noConversion"/>
  </si>
  <si>
    <t>42 to 777</t>
  </si>
  <si>
    <t>Nunn and van Schaik 02, diverse in ATWP 2012</t>
    <phoneticPr fontId="0" type="noConversion"/>
  </si>
  <si>
    <t>12 to 38</t>
  </si>
  <si>
    <t>16.6 to 33</t>
  </si>
  <si>
    <t>100 to ??</t>
  </si>
  <si>
    <t>100 may be an underestimate, ATWP 2011</t>
  </si>
  <si>
    <t>32 to 62.5</t>
  </si>
  <si>
    <t>Nunn and van Schaik 02</t>
  </si>
  <si>
    <t>13 to 34, 11.5-40 Fuentes in ATWP 2011, 17-28 in Sasimar 2004</t>
  </si>
  <si>
    <t>33 to 99</t>
  </si>
  <si>
    <t>21 to 27</t>
  </si>
  <si>
    <t>7.1 to 53.4</t>
  </si>
  <si>
    <t>Steenbeek and van Schaik 2001</t>
  </si>
  <si>
    <t>13 to 60</t>
  </si>
  <si>
    <t>9.5 to 360</t>
    <phoneticPr fontId="0" type="noConversion"/>
  </si>
  <si>
    <t>28 to 56</t>
  </si>
  <si>
    <t>60 to several 100</t>
  </si>
  <si>
    <t>Tan 2006, HMW vol. 3</t>
  </si>
  <si>
    <t>34-47</t>
  </si>
  <si>
    <t>4 to 8.5</t>
    <phoneticPr fontId="0" type="noConversion"/>
  </si>
  <si>
    <t>Albignac 1981, Harcourt 1990 in ATWP 2012</t>
    <phoneticPr fontId="0" type="noConversion"/>
  </si>
  <si>
    <t>1.2-1.5</t>
  </si>
  <si>
    <t>33 to 42, 100 to 200, 20-50</t>
  </si>
  <si>
    <t>21.6 to 32, pristine forest, Morriss 2009 in ATWP 2011, 40-250 HMW3</t>
  </si>
  <si>
    <t>4.36 to 12.25</t>
  </si>
  <si>
    <t>Dong 2006, in ATWP 2012</t>
    <phoneticPr fontId="0" type="noConversion"/>
  </si>
  <si>
    <t>956 to 5600</t>
  </si>
  <si>
    <t>Grueter et al. 2008, 2500 Kirkpatrick 07 review</t>
  </si>
  <si>
    <t>373 to 2250</t>
  </si>
  <si>
    <t>2600 Kirkpatrick 07 review, 2250 Tan 2007 including transit areas, ATWP 2011</t>
  </si>
  <si>
    <t>Egler 1992 in ATWP 2012</t>
    <phoneticPr fontId="0" type="noConversion"/>
  </si>
  <si>
    <t>30 to 149</t>
  </si>
  <si>
    <t>Dawson 1978, Garber 1980, in ATWP 2012</t>
    <phoneticPr fontId="0" type="noConversion"/>
  </si>
  <si>
    <t>Porter 2000 in ATWP 2012; 30.35 HMW vol. 3</t>
  </si>
  <si>
    <t>Poveda 2004</t>
    <phoneticPr fontId="0" type="noConversion"/>
  </si>
  <si>
    <t>&lt;2000</t>
  </si>
  <si>
    <t>31.1 to 42.5</t>
  </si>
  <si>
    <t>28 to 197</t>
    <phoneticPr fontId="0" type="noConversion"/>
  </si>
  <si>
    <t>Castro 1991, Garber, Peres pers comm in ATWP 2012</t>
    <phoneticPr fontId="0" type="noConversion"/>
  </si>
  <si>
    <t>85 to 197</t>
    <phoneticPr fontId="0" type="noConversion"/>
  </si>
  <si>
    <t>35 to 156</t>
    <phoneticPr fontId="0" type="noConversion"/>
  </si>
  <si>
    <t>Digby et al. 07 review, Oliveira 1996</t>
    <phoneticPr fontId="0" type="noConversion"/>
  </si>
  <si>
    <t>42-56</t>
  </si>
  <si>
    <t>de lat Torre 1995, Izawa 1978 in ATWP 2012</t>
    <phoneticPr fontId="0" type="noConversion"/>
  </si>
  <si>
    <t>7.8 to 32</t>
  </si>
  <si>
    <t>Neymann 1977 in ATWP 2012</t>
    <phoneticPr fontId="0" type="noConversion"/>
  </si>
  <si>
    <t>250-500</t>
    <phoneticPr fontId="0" type="noConversion"/>
  </si>
  <si>
    <t>Boinski 2002 in ATWP 2012</t>
    <phoneticPr fontId="0" type="noConversion"/>
  </si>
  <si>
    <t>200 to 500</t>
  </si>
  <si>
    <t>33 to 250</t>
  </si>
  <si>
    <t>50 to 100</t>
  </si>
  <si>
    <t>18.31 with MCP</t>
  </si>
  <si>
    <t>Nekaris &amp; Bearder 07, Pimley et al. 2005</t>
  </si>
  <si>
    <t>19 to 150</t>
  </si>
  <si>
    <t>20 to 780</t>
  </si>
  <si>
    <t>Dolhinow 1972, Starin 1978 in ATWP 2011</t>
  </si>
  <si>
    <t>50 to 259</t>
    <phoneticPr fontId="0" type="noConversion"/>
  </si>
  <si>
    <t>Ripley 1965, in ATWP 2012</t>
    <phoneticPr fontId="0" type="noConversion"/>
  </si>
  <si>
    <t>135 to 1275</t>
    <phoneticPr fontId="0" type="noConversion"/>
  </si>
  <si>
    <t>Kirkpatrick 07 review, and diverse in ATWP 2012</t>
    <phoneticPr fontId="0" type="noConversion"/>
  </si>
  <si>
    <t>0.9 to 10.24</t>
    <phoneticPr fontId="0" type="noConversion"/>
  </si>
  <si>
    <t>Yustian in prep in ATWP 2012Gursky 07 (Crompton and Andau 1987 give male10, fem 7)</t>
    <phoneticPr fontId="0" type="noConversion"/>
  </si>
  <si>
    <t>1.1 to 1.8</t>
  </si>
  <si>
    <t>Gursky 07 (Neri Arboleda 2001)</t>
  </si>
  <si>
    <t>1.6 to 4.1</t>
  </si>
  <si>
    <t>Gursky 07 (Gursky 1998a)</t>
  </si>
  <si>
    <t>ATWP average of diverse</t>
  </si>
  <si>
    <t>2.5 to 17</t>
  </si>
  <si>
    <t>ATWP 2011 (Kool 1989, Vogt 2003)</t>
  </si>
  <si>
    <t>5.2 to 43</t>
  </si>
  <si>
    <t>ATWP 2011, three sources</t>
  </si>
  <si>
    <t>Biswas unpublished dissertation 2002 in ATWP 2011</t>
  </si>
  <si>
    <t>24 to 250</t>
  </si>
  <si>
    <t>Kirkpatrick 07 review, and ATWP 2011 for Ram pers observation</t>
  </si>
  <si>
    <t>17 to 33</t>
  </si>
  <si>
    <t>Bhattacharia 1992, Stanford 1988 in ATWP 2012</t>
    <phoneticPr fontId="0" type="noConversion"/>
  </si>
  <si>
    <t>22 to 64</t>
  </si>
  <si>
    <t>28 to 300</t>
    <phoneticPr fontId="0" type="noConversion"/>
  </si>
  <si>
    <t>0.9 to 14.9</t>
    <phoneticPr fontId="0" type="noConversion"/>
  </si>
  <si>
    <t>25 to 58</t>
  </si>
  <si>
    <t>Gould and Sauther 07 review, and ATWP 2012</t>
    <phoneticPr fontId="0" type="noConversion"/>
  </si>
  <si>
    <t>Thalmann, pers comm</t>
  </si>
  <si>
    <t>logECV</t>
  </si>
  <si>
    <t>logInsects</t>
  </si>
  <si>
    <t>logFruit</t>
  </si>
  <si>
    <t>logLeaves</t>
  </si>
  <si>
    <t>logCombiGroupSize</t>
  </si>
  <si>
    <t>logHRS</t>
  </si>
  <si>
    <t>NA</t>
  </si>
  <si>
    <t>Cercopithecus_campbelli_lowei</t>
  </si>
  <si>
    <t>Cercopithecus_pogonias_wolfi</t>
  </si>
  <si>
    <t>Eulemur_flavifrons</t>
  </si>
  <si>
    <t>Eulemur_sanfordi</t>
  </si>
  <si>
    <t>Galago_senegalensis</t>
  </si>
  <si>
    <t>Galagoides_demidovii</t>
  </si>
  <si>
    <t>Galagoides_granti</t>
  </si>
  <si>
    <t>Galagoides_rondoensis</t>
  </si>
  <si>
    <t>Galagoides_thomasi</t>
  </si>
  <si>
    <t>Galagoides_zanzibaricus</t>
  </si>
  <si>
    <t>Mico_argentatus</t>
  </si>
  <si>
    <t>Mico_humeralifer</t>
  </si>
  <si>
    <t>Mico_intermedius</t>
  </si>
  <si>
    <t>Mico_leucippe</t>
  </si>
  <si>
    <t>Nycticebus_javanicus</t>
  </si>
  <si>
    <t>Pongo_pygmaeus_morio</t>
  </si>
  <si>
    <t>Pongo_pygmaeus_wurmbii</t>
  </si>
  <si>
    <t>Procolobus_badius</t>
  </si>
  <si>
    <t>Procolobus_kirkii</t>
  </si>
  <si>
    <t>Procolobus_preussi</t>
  </si>
  <si>
    <t>Procolobus_rufomitratus</t>
  </si>
  <si>
    <t>Procolobus_rufomitratus_tephrosceles</t>
  </si>
  <si>
    <t>Saguinus_mystax_pileatus</t>
  </si>
  <si>
    <t>Sciurocheirus_alleni_cameronensis</t>
  </si>
  <si>
    <t>Sciurocheirus_gabonensis</t>
  </si>
  <si>
    <t>Aotus_nancymaae</t>
  </si>
  <si>
    <t>Euoticus_elegantulus</t>
  </si>
  <si>
    <t>Galago_moholi</t>
  </si>
  <si>
    <t>Lepilemur_sahamalazensis</t>
  </si>
  <si>
    <t>Microcebus_berthae</t>
  </si>
  <si>
    <t>Mirza_zaza</t>
  </si>
  <si>
    <t>Propithecus_candidus</t>
  </si>
  <si>
    <t>Propithecus_coronatus</t>
  </si>
  <si>
    <t>Propithecus_perrieri</t>
  </si>
  <si>
    <t>Saguinus_inustus</t>
  </si>
  <si>
    <t>Saimiri_ustus</t>
  </si>
  <si>
    <t>Saimiri_vanzolinii</t>
  </si>
  <si>
    <t>Tarsius_lariang</t>
  </si>
  <si>
    <t>Varecia_rubra</t>
  </si>
  <si>
    <t>Varecia_variegata</t>
  </si>
  <si>
    <t>Aotus_azarai</t>
  </si>
  <si>
    <t>Callithrix_pygmaea</t>
  </si>
  <si>
    <t>Cercocebus_torquatus_atys</t>
  </si>
  <si>
    <t>Cercopithecus_campbelli_lowei</t>
    <phoneticPr fontId="0" type="noConversion"/>
  </si>
  <si>
    <t>Cercopithecus_pogonias_wolfi</t>
    <phoneticPr fontId="0" type="noConversion"/>
  </si>
  <si>
    <t>Eulemur_fulvus_albifrons</t>
  </si>
  <si>
    <t>Eulemur_fulvus_collaris</t>
  </si>
  <si>
    <t>Eulemur_fulvus_fulvus</t>
  </si>
  <si>
    <t>Eulemur_macaco_macaco</t>
  </si>
  <si>
    <t>Eulemur_fulvus_rufus</t>
  </si>
  <si>
    <t>Euoticus_elegantulus</t>
    <phoneticPr fontId="0" type="noConversion"/>
  </si>
  <si>
    <t>Galago_moholi</t>
    <phoneticPr fontId="0" type="noConversion"/>
  </si>
  <si>
    <t>Galago_senegalensis</t>
    <phoneticPr fontId="0" type="noConversion"/>
  </si>
  <si>
    <t>Galagoides_demidoff</t>
  </si>
  <si>
    <t>Galagoides_thomasi</t>
    <phoneticPr fontId="0" type="noConversion"/>
  </si>
  <si>
    <t>Galagoides_zanzibaricus</t>
    <phoneticPr fontId="0" type="noConversion"/>
  </si>
  <si>
    <t>Gorilla_gorilla_gorilla</t>
  </si>
  <si>
    <t>Hapalemur_griseus_alaotrensis</t>
  </si>
  <si>
    <t>Hapalemur_griseus_occidentalis</t>
  </si>
  <si>
    <t>Bunopithecus_hoolock</t>
  </si>
  <si>
    <t>Callithrix_argentata</t>
  </si>
  <si>
    <t>Callithrix_humeralifera</t>
  </si>
  <si>
    <t>Pan_troglodytes_troglodytes</t>
  </si>
  <si>
    <t>Phaner_furcifer_pallescens</t>
  </si>
  <si>
    <t>Piliocolobus_badius</t>
  </si>
  <si>
    <t>Piliocolobus_kirkii</t>
  </si>
  <si>
    <t>Piliocolobus_pennantii</t>
  </si>
  <si>
    <t>Piliocolobus_preussi</t>
  </si>
  <si>
    <t>Piliocolobus_rufomitratus</t>
  </si>
  <si>
    <t>Piliocolobus_tephrosceles</t>
  </si>
  <si>
    <t>Hapalemur_simus</t>
  </si>
  <si>
    <t>Sciurocheirus_cameronensis</t>
    <phoneticPr fontId="0" type="noConversion"/>
  </si>
  <si>
    <t>Sciurocheirus_gabonensis</t>
    <phoneticPr fontId="0" type="noConversion"/>
  </si>
  <si>
    <t>Varecia_rubra</t>
    <phoneticPr fontId="0" type="noConversion"/>
  </si>
  <si>
    <t>Varecia_variegata_variegata</t>
  </si>
  <si>
    <t>Source ECV</t>
  </si>
  <si>
    <t>Sex ECV</t>
  </si>
  <si>
    <t>Sex Body mass</t>
  </si>
  <si>
    <t>N Body mass</t>
  </si>
  <si>
    <t>Source Body mass</t>
  </si>
  <si>
    <t>Original source Body mass</t>
  </si>
  <si>
    <t>Calculation</t>
  </si>
  <si>
    <t>%nonreproctive plant parts (gum and leaves, bark etc.)</t>
  </si>
  <si>
    <t>% reproductive plant parts (fruits, flowers and nectar)</t>
  </si>
  <si>
    <t>Source diet composition</t>
  </si>
  <si>
    <t>Group size combined</t>
  </si>
  <si>
    <t>Source group size</t>
  </si>
  <si>
    <t>male Home range (HR) size: mean (ha)</t>
  </si>
  <si>
    <t>female Home range size: mean</t>
  </si>
  <si>
    <t>Source Home range size</t>
  </si>
  <si>
    <t>Diurnality</t>
  </si>
  <si>
    <t>logBodyMass</t>
  </si>
  <si>
    <t>Terrestriality</t>
  </si>
  <si>
    <t>Species name adjusted to 10kTrees</t>
  </si>
  <si>
    <t xml:space="preserve">Species name in Perelman tree </t>
  </si>
  <si>
    <t>Subfamily</t>
  </si>
  <si>
    <t>Family</t>
  </si>
  <si>
    <t>Remarks Sleeping group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</si>
</sst>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9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Verdana"/>
      <family val="2"/>
    </font>
    <font>
      <b/>
      <sz val="9"/>
      <color theme="1"/>
      <name val="Calibri"/>
      <family val="2"/>
      <scheme val="minor"/>
    </font>
    <font>
      <b/>
      <sz val="9"/>
      <color theme="1"/>
      <name val="Verdana"/>
      <family val="2"/>
    </font>
    <font>
      <sz val="9"/>
      <color theme="1"/>
      <name val="$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wrapText="1"/>
    </xf>
    <xf numFmtId="2" fontId="5" fillId="0" borderId="0" xfId="0" applyNumberFormat="1" applyFont="1" applyAlignment="1">
      <alignment horizontal="right"/>
    </xf>
    <xf numFmtId="1" fontId="5" fillId="0" borderId="0" xfId="0" applyNumberFormat="1" applyFont="1" applyAlignment="1">
      <alignment horizontal="right"/>
    </xf>
    <xf numFmtId="164" fontId="5" fillId="0" borderId="0" xfId="0" applyNumberFormat="1" applyFont="1"/>
    <xf numFmtId="0" fontId="5" fillId="0" borderId="0" xfId="0" applyFont="1" applyAlignment="1">
      <alignment horizontal="right"/>
    </xf>
    <xf numFmtId="1" fontId="5" fillId="0" borderId="0" xfId="0" applyNumberFormat="1" applyFont="1" applyAlignment="1">
      <alignment horizontal="left"/>
    </xf>
    <xf numFmtId="2" fontId="5" fillId="0" borderId="0" xfId="0" applyNumberFormat="1" applyFont="1"/>
    <xf numFmtId="164" fontId="5" fillId="0" borderId="0" xfId="0" applyNumberFormat="1" applyFont="1" applyAlignment="1">
      <alignment horizontal="right"/>
    </xf>
    <xf numFmtId="1" fontId="5" fillId="0" borderId="0" xfId="0" applyNumberFormat="1" applyFont="1"/>
    <xf numFmtId="20" fontId="5" fillId="0" borderId="0" xfId="0" applyNumberFormat="1" applyFont="1" applyAlignment="1">
      <alignment horizontal="left"/>
    </xf>
    <xf numFmtId="0" fontId="8" fillId="0" borderId="0" xfId="0" applyFont="1"/>
    <xf numFmtId="164" fontId="8" fillId="0" borderId="0" xfId="0" applyNumberFormat="1" applyFont="1"/>
    <xf numFmtId="0" fontId="5" fillId="0" borderId="0" xfId="0" applyFont="1" applyAlignment="1">
      <alignment horizontal="left"/>
    </xf>
    <xf numFmtId="46" fontId="5" fillId="0" borderId="0" xfId="0" applyNumberFormat="1" applyFont="1" applyAlignment="1">
      <alignment horizontal="left"/>
    </xf>
    <xf numFmtId="21" fontId="5" fillId="0" borderId="0" xfId="0" applyNumberFormat="1" applyFont="1" applyAlignment="1">
      <alignment horizontal="left"/>
    </xf>
    <xf numFmtId="2" fontId="5" fillId="0" borderId="0" xfId="0" applyNumberFormat="1" applyFont="1" applyAlignment="1">
      <alignment horizontal="left"/>
    </xf>
    <xf numFmtId="16" fontId="5" fillId="0" borderId="0" xfId="0" applyNumberFormat="1" applyFont="1"/>
    <xf numFmtId="165" fontId="5" fillId="0" borderId="0" xfId="0" applyNumberFormat="1" applyFont="1"/>
  </cellXfs>
  <cellStyles count="1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  <cellStyle name="Normal 2" xfId="1" xr:uid="{00000000-0005-0000-0000-000011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361"/>
  <sheetViews>
    <sheetView tabSelected="1" zoomScale="125" zoomScaleNormal="125" zoomScalePageLayoutView="125" workbookViewId="0">
      <selection activeCell="B6" sqref="B6"/>
    </sheetView>
  </sheetViews>
  <sheetFormatPr baseColWidth="10" defaultColWidth="11" defaultRowHeight="12"/>
  <cols>
    <col min="1" max="2" width="30.6640625" style="2" customWidth="1"/>
    <col min="3" max="3" width="28.83203125" style="2" customWidth="1"/>
    <col min="4" max="5" width="11" style="2" customWidth="1"/>
    <col min="6" max="6" width="10.33203125" style="2" customWidth="1"/>
    <col min="7" max="8" width="9.83203125" style="2" customWidth="1"/>
    <col min="9" max="9" width="8.5" style="2" customWidth="1"/>
    <col min="10" max="13" width="12.33203125" style="2" customWidth="1"/>
    <col min="14" max="14" width="10.1640625" style="2" customWidth="1"/>
    <col min="15" max="15" width="6.33203125" style="2" customWidth="1"/>
    <col min="16" max="16" width="4.5" style="2" customWidth="1"/>
    <col min="17" max="17" width="7.1640625" style="10" customWidth="1"/>
    <col min="18" max="18" width="20" style="10" customWidth="1"/>
    <col min="19" max="19" width="8" style="2" customWidth="1"/>
    <col min="20" max="20" width="5.1640625" style="2" customWidth="1"/>
    <col min="21" max="21" width="3.83203125" style="10" customWidth="1"/>
    <col min="22" max="22" width="25.1640625" style="10" customWidth="1"/>
    <col min="23" max="23" width="28.5" style="10" customWidth="1"/>
    <col min="24" max="24" width="6.5" style="2" customWidth="1"/>
    <col min="25" max="25" width="6.1640625" style="2" customWidth="1"/>
    <col min="26" max="26" width="7.1640625" style="2" customWidth="1"/>
    <col min="27" max="27" width="9.33203125" style="2" customWidth="1"/>
    <col min="28" max="28" width="6.6640625" style="2" customWidth="1"/>
    <col min="29" max="29" width="6.33203125" style="2" customWidth="1"/>
    <col min="30" max="30" width="9.1640625" style="2" customWidth="1"/>
    <col min="31" max="31" width="7.1640625" style="2" customWidth="1"/>
    <col min="32" max="32" width="5.83203125" style="2" customWidth="1"/>
    <col min="33" max="33" width="6.6640625" style="2" customWidth="1"/>
    <col min="34" max="34" width="6.33203125" style="2" customWidth="1"/>
    <col min="35" max="35" width="7" style="2" customWidth="1"/>
    <col min="36" max="37" width="6.1640625" style="2" customWidth="1"/>
    <col min="38" max="38" width="5.83203125" style="2" customWidth="1"/>
    <col min="39" max="39" width="8.33203125" style="2" customWidth="1"/>
    <col min="40" max="40" width="30.1640625" style="2" customWidth="1"/>
    <col min="41" max="41" width="9.1640625" style="2" customWidth="1"/>
    <col min="42" max="42" width="10.6640625" style="2" customWidth="1"/>
    <col min="43" max="43" width="11" style="2" customWidth="1"/>
    <col min="44" max="44" width="11.1640625" style="2" customWidth="1"/>
    <col min="45" max="45" width="9.83203125" style="2" customWidth="1"/>
    <col min="46" max="46" width="41.1640625" style="2" customWidth="1"/>
    <col min="47" max="47" width="7.5" style="2" customWidth="1"/>
    <col min="48" max="48" width="9.83203125" style="2" customWidth="1"/>
    <col min="49" max="49" width="12.83203125" style="2" customWidth="1"/>
    <col min="50" max="50" width="8.6640625" style="2" customWidth="1"/>
    <col min="51" max="51" width="10.6640625" style="2" customWidth="1"/>
    <col min="52" max="52" width="8.6640625" style="2" customWidth="1"/>
    <col min="53" max="59" width="12.83203125" style="2" customWidth="1"/>
    <col min="60" max="16384" width="11" style="1"/>
  </cols>
  <sheetData>
    <row r="1" spans="1:59" s="3" customFormat="1" ht="143">
      <c r="A1" s="4" t="s">
        <v>0</v>
      </c>
      <c r="B1" s="4" t="s">
        <v>1439</v>
      </c>
      <c r="C1" s="4" t="s">
        <v>1440</v>
      </c>
      <c r="D1" s="4" t="s">
        <v>1441</v>
      </c>
      <c r="E1" s="4" t="s">
        <v>1442</v>
      </c>
      <c r="F1" s="4" t="s">
        <v>1438</v>
      </c>
      <c r="G1" s="4" t="s">
        <v>1339</v>
      </c>
      <c r="H1" s="4" t="s">
        <v>1437</v>
      </c>
      <c r="I1" s="4" t="s">
        <v>1340</v>
      </c>
      <c r="J1" s="4" t="s">
        <v>1341</v>
      </c>
      <c r="K1" s="4" t="s">
        <v>1342</v>
      </c>
      <c r="L1" s="4" t="s">
        <v>1343</v>
      </c>
      <c r="M1" s="4" t="s">
        <v>1344</v>
      </c>
      <c r="N1" s="4" t="s">
        <v>1436</v>
      </c>
      <c r="O1" s="5" t="s">
        <v>302</v>
      </c>
      <c r="P1" s="5" t="s">
        <v>303</v>
      </c>
      <c r="Q1" s="5" t="s">
        <v>1422</v>
      </c>
      <c r="R1" s="5" t="s">
        <v>1421</v>
      </c>
      <c r="S1" s="5" t="s">
        <v>304</v>
      </c>
      <c r="T1" s="5" t="s">
        <v>1424</v>
      </c>
      <c r="U1" s="5" t="s">
        <v>1423</v>
      </c>
      <c r="V1" s="5" t="s">
        <v>1425</v>
      </c>
      <c r="W1" s="5" t="s">
        <v>1426</v>
      </c>
      <c r="X1" s="6" t="s">
        <v>444</v>
      </c>
      <c r="Y1" s="6" t="s">
        <v>445</v>
      </c>
      <c r="Z1" s="6" t="s">
        <v>446</v>
      </c>
      <c r="AA1" s="6" t="s">
        <v>447</v>
      </c>
      <c r="AB1" s="6" t="s">
        <v>448</v>
      </c>
      <c r="AC1" s="6" t="s">
        <v>449</v>
      </c>
      <c r="AD1" s="6" t="s">
        <v>450</v>
      </c>
      <c r="AE1" s="6" t="s">
        <v>1429</v>
      </c>
      <c r="AF1" s="6" t="s">
        <v>451</v>
      </c>
      <c r="AG1" s="6" t="s">
        <v>452</v>
      </c>
      <c r="AH1" s="6" t="s">
        <v>453</v>
      </c>
      <c r="AI1" s="6" t="s">
        <v>454</v>
      </c>
      <c r="AJ1" s="6" t="s">
        <v>1428</v>
      </c>
      <c r="AK1" s="6" t="s">
        <v>455</v>
      </c>
      <c r="AL1" s="6" t="s">
        <v>456</v>
      </c>
      <c r="AM1" s="6" t="s">
        <v>1427</v>
      </c>
      <c r="AN1" s="6" t="s">
        <v>1430</v>
      </c>
      <c r="AO1" s="6" t="s">
        <v>692</v>
      </c>
      <c r="AP1" s="6" t="s">
        <v>1443</v>
      </c>
      <c r="AQ1" s="6" t="s">
        <v>693</v>
      </c>
      <c r="AR1" s="6" t="s">
        <v>694</v>
      </c>
      <c r="AS1" s="6" t="s">
        <v>1431</v>
      </c>
      <c r="AT1" s="6" t="s">
        <v>1432</v>
      </c>
      <c r="AU1" s="6" t="s">
        <v>1054</v>
      </c>
      <c r="AV1" s="6" t="s">
        <v>1433</v>
      </c>
      <c r="AW1" s="6" t="s">
        <v>1434</v>
      </c>
      <c r="AX1" s="6" t="s">
        <v>1055</v>
      </c>
      <c r="AY1" s="6" t="s">
        <v>1056</v>
      </c>
      <c r="AZ1" s="6" t="s">
        <v>1435</v>
      </c>
      <c r="BA1" s="6"/>
      <c r="BB1" s="6"/>
      <c r="BC1" s="6"/>
      <c r="BD1" s="6"/>
      <c r="BE1" s="6"/>
      <c r="BF1" s="6"/>
      <c r="BG1" s="6"/>
    </row>
    <row r="2" spans="1:59">
      <c r="A2" s="2" t="s">
        <v>1</v>
      </c>
      <c r="B2" s="2" t="s">
        <v>1</v>
      </c>
      <c r="C2" s="2" t="s">
        <v>1</v>
      </c>
      <c r="D2" s="2" t="s">
        <v>271</v>
      </c>
      <c r="E2" s="2" t="s">
        <v>272</v>
      </c>
      <c r="F2" s="2">
        <v>1</v>
      </c>
      <c r="G2" s="2">
        <f>LOG(O2)</f>
        <v>1.729950392491405</v>
      </c>
      <c r="H2" s="2">
        <f>LOG(S2)</f>
        <v>3.5024271199844326</v>
      </c>
      <c r="I2" s="2">
        <f>LOG(X2)</f>
        <v>0.95424250943932487</v>
      </c>
      <c r="J2" s="2">
        <f>LOG(Y2)</f>
        <v>1.7817553746524688</v>
      </c>
      <c r="K2" s="2">
        <f>LOG(AG2)</f>
        <v>0.3979400086720376</v>
      </c>
      <c r="L2" s="2">
        <f t="shared" ref="L2:L37" si="0">LOG(AS2)</f>
        <v>1.5440680443502757</v>
      </c>
      <c r="N2" s="2">
        <v>1</v>
      </c>
      <c r="O2" s="7">
        <v>53.697045714285707</v>
      </c>
      <c r="P2" s="8">
        <v>7</v>
      </c>
      <c r="Q2" s="9" t="s">
        <v>305</v>
      </c>
      <c r="R2" s="9" t="s">
        <v>306</v>
      </c>
      <c r="S2" s="10">
        <v>3180</v>
      </c>
      <c r="T2" s="10">
        <v>1</v>
      </c>
      <c r="U2" s="2" t="s">
        <v>305</v>
      </c>
      <c r="V2" s="2" t="s">
        <v>306</v>
      </c>
      <c r="W2" s="2" t="s">
        <v>307</v>
      </c>
      <c r="X2" s="9">
        <f>AVERAGE(18,0)</f>
        <v>9</v>
      </c>
      <c r="Y2" s="9">
        <f>AVERAGE(81,40)</f>
        <v>60.5</v>
      </c>
      <c r="Z2" s="9"/>
      <c r="AA2" s="9">
        <f>Y2+Z2</f>
        <v>60.5</v>
      </c>
      <c r="AB2" s="9"/>
      <c r="AC2" s="9">
        <f>AVERAGE(0,20)</f>
        <v>10</v>
      </c>
      <c r="AD2" s="9">
        <f>AB2+AC2</f>
        <v>10</v>
      </c>
      <c r="AE2" s="9">
        <f>AA2+AD2</f>
        <v>70.5</v>
      </c>
      <c r="AF2" s="9">
        <f>AVERAGE(6.7)</f>
        <v>6.7</v>
      </c>
      <c r="AG2" s="9">
        <v>2.5</v>
      </c>
      <c r="AH2" s="9"/>
      <c r="AI2" s="9"/>
      <c r="AJ2" s="9">
        <f>AG2</f>
        <v>2.5</v>
      </c>
      <c r="AK2" s="9">
        <f>AVERAGE(11.3)</f>
        <v>11.3</v>
      </c>
      <c r="AL2" s="9">
        <f>SUM(X2+AA2+AD2+AF2+AG2+AK2)</f>
        <v>100</v>
      </c>
      <c r="AM2" s="9" t="s">
        <v>458</v>
      </c>
      <c r="AN2" s="9" t="s">
        <v>459</v>
      </c>
      <c r="AQ2" s="2">
        <v>35</v>
      </c>
      <c r="AR2" s="2" t="s">
        <v>695</v>
      </c>
      <c r="AS2" s="2">
        <v>35</v>
      </c>
      <c r="AT2" s="2" t="s">
        <v>696</v>
      </c>
    </row>
    <row r="3" spans="1:59">
      <c r="A3" s="2" t="s">
        <v>2</v>
      </c>
      <c r="B3" s="2" t="s">
        <v>2</v>
      </c>
      <c r="C3" s="2" t="s">
        <v>2</v>
      </c>
      <c r="E3" s="2" t="s">
        <v>273</v>
      </c>
      <c r="F3" s="2">
        <v>0</v>
      </c>
      <c r="I3" s="2">
        <f>LOG(X3)</f>
        <v>1.6127838567197355</v>
      </c>
      <c r="J3" s="2">
        <f>LOG(Y3)</f>
        <v>0.84509804001425681</v>
      </c>
      <c r="L3" s="2">
        <f t="shared" si="0"/>
        <v>0.47712125471966244</v>
      </c>
      <c r="M3" s="2">
        <f t="shared" ref="M3:M12" si="1">LOG(AX3)</f>
        <v>1.0170333392987803</v>
      </c>
      <c r="N3" s="2">
        <v>0</v>
      </c>
      <c r="O3" s="7"/>
      <c r="P3" s="8"/>
      <c r="Q3" s="11"/>
      <c r="R3" s="9"/>
      <c r="S3" s="10"/>
      <c r="T3" s="10"/>
      <c r="U3" s="2"/>
      <c r="V3" s="2"/>
      <c r="W3" s="2"/>
      <c r="X3" s="9">
        <f>AVERAGE(41)</f>
        <v>41</v>
      </c>
      <c r="Y3" s="9">
        <f>AVERAGE(7)</f>
        <v>7</v>
      </c>
      <c r="Z3" s="9"/>
      <c r="AA3" s="9">
        <f>Y3+Z3</f>
        <v>7</v>
      </c>
      <c r="AB3" s="9"/>
      <c r="AC3" s="9">
        <f>AVERAGE(7)</f>
        <v>7</v>
      </c>
      <c r="AD3" s="9">
        <f>AB3+AC3</f>
        <v>7</v>
      </c>
      <c r="AE3" s="9">
        <f>AA3+AD3</f>
        <v>14</v>
      </c>
      <c r="AF3" s="9">
        <f>AVERAGE(45)</f>
        <v>45</v>
      </c>
      <c r="AG3" s="9">
        <v>0</v>
      </c>
      <c r="AH3" s="9"/>
      <c r="AI3" s="9"/>
      <c r="AJ3" s="9"/>
      <c r="AK3" s="9">
        <v>0</v>
      </c>
      <c r="AL3" s="9">
        <f>SUM(X3+AA3+AD3+AF3+AG3+AK3)</f>
        <v>100</v>
      </c>
      <c r="AM3" s="9" t="s">
        <v>460</v>
      </c>
      <c r="AN3" s="9" t="s">
        <v>461</v>
      </c>
      <c r="AO3" s="2">
        <f>AVERAGE(1,2,3,6)</f>
        <v>3</v>
      </c>
      <c r="AP3" s="2" t="s">
        <v>697</v>
      </c>
      <c r="AQ3" s="2">
        <v>1</v>
      </c>
      <c r="AR3" s="2" t="s">
        <v>698</v>
      </c>
      <c r="AS3" s="2">
        <v>3</v>
      </c>
      <c r="AT3" s="2" t="s">
        <v>699</v>
      </c>
      <c r="AX3" s="2">
        <v>10.4</v>
      </c>
      <c r="AY3" s="2" t="s">
        <v>1057</v>
      </c>
      <c r="AZ3" s="2" t="s">
        <v>1058</v>
      </c>
    </row>
    <row r="4" spans="1:59">
      <c r="A4" s="2" t="s">
        <v>3</v>
      </c>
      <c r="B4" s="2" t="s">
        <v>3</v>
      </c>
      <c r="C4" s="2" t="s">
        <v>3</v>
      </c>
      <c r="D4" s="2" t="s">
        <v>274</v>
      </c>
      <c r="E4" s="2" t="s">
        <v>275</v>
      </c>
      <c r="F4" s="2">
        <v>0</v>
      </c>
      <c r="L4" s="2">
        <f t="shared" si="0"/>
        <v>0.91658553300234913</v>
      </c>
      <c r="M4" s="2">
        <f t="shared" si="1"/>
        <v>0.87621784059164221</v>
      </c>
      <c r="N4" s="2">
        <v>1</v>
      </c>
      <c r="O4" s="7"/>
      <c r="P4" s="8"/>
      <c r="Q4" s="11"/>
      <c r="R4" s="9"/>
      <c r="S4" s="10"/>
      <c r="T4" s="10"/>
      <c r="U4" s="2"/>
      <c r="V4" s="2"/>
      <c r="W4" s="2"/>
      <c r="X4" s="9"/>
      <c r="Y4" s="9"/>
      <c r="Z4" s="9"/>
      <c r="AA4" s="9"/>
      <c r="AB4" s="9"/>
      <c r="AC4" s="9"/>
      <c r="AE4" s="9"/>
      <c r="AF4" s="9"/>
      <c r="AG4" s="9"/>
      <c r="AH4" s="9"/>
      <c r="AI4" s="9"/>
      <c r="AJ4" s="9"/>
      <c r="AK4" s="9"/>
      <c r="AL4" s="9"/>
      <c r="AM4" s="9"/>
      <c r="AN4" s="9"/>
      <c r="AP4" s="2" t="s">
        <v>700</v>
      </c>
      <c r="AQ4" s="2">
        <f>AVERAGE(10.5, 7.71, 5.9, 8.9)</f>
        <v>8.2524999999999995</v>
      </c>
      <c r="AR4" s="2" t="s">
        <v>701</v>
      </c>
      <c r="AS4" s="2">
        <v>8.2524999999999995</v>
      </c>
      <c r="AT4" s="2" t="s">
        <v>702</v>
      </c>
      <c r="AX4" s="2">
        <v>7.52</v>
      </c>
      <c r="AY4" s="2" t="s">
        <v>1059</v>
      </c>
      <c r="AZ4" s="2" t="s">
        <v>1060</v>
      </c>
    </row>
    <row r="5" spans="1:59">
      <c r="A5" s="2" t="s">
        <v>4</v>
      </c>
      <c r="B5" s="2" t="s">
        <v>4</v>
      </c>
      <c r="C5" s="2" t="s">
        <v>4</v>
      </c>
      <c r="D5" s="2" t="s">
        <v>274</v>
      </c>
      <c r="E5" s="2" t="s">
        <v>275</v>
      </c>
      <c r="F5" s="2">
        <v>0</v>
      </c>
      <c r="G5" s="2">
        <f>LOG(O5)</f>
        <v>1.707083298825079</v>
      </c>
      <c r="H5" s="2">
        <f t="shared" ref="H5:H66" si="2">LOG(S5)</f>
        <v>3.7423322823571481</v>
      </c>
      <c r="J5" s="2">
        <f t="shared" ref="J5:J12" si="3">LOG(Y5)</f>
        <v>1.75815462196739</v>
      </c>
      <c r="K5" s="2">
        <f t="shared" ref="K5:K12" si="4">LOG(AG5)</f>
        <v>1.3639878297484915</v>
      </c>
      <c r="L5" s="2">
        <f t="shared" si="0"/>
        <v>0.74818802700620035</v>
      </c>
      <c r="M5" s="2">
        <f t="shared" si="1"/>
        <v>1.1398790864012365</v>
      </c>
      <c r="N5" s="2">
        <v>1</v>
      </c>
      <c r="O5" s="12">
        <v>50.942857142857143</v>
      </c>
      <c r="P5" s="2">
        <v>14</v>
      </c>
      <c r="Q5" s="9" t="s">
        <v>305</v>
      </c>
      <c r="R5" s="9" t="s">
        <v>308</v>
      </c>
      <c r="S5" s="8">
        <v>5525</v>
      </c>
      <c r="T5" s="10">
        <v>26</v>
      </c>
      <c r="U5" s="2" t="s">
        <v>305</v>
      </c>
      <c r="V5" s="2" t="s">
        <v>306</v>
      </c>
      <c r="W5" s="2" t="s">
        <v>309</v>
      </c>
      <c r="X5" s="2">
        <v>0</v>
      </c>
      <c r="Y5" s="2">
        <f>AVERAGE(55.6,59)</f>
        <v>57.3</v>
      </c>
      <c r="AA5" s="9">
        <f t="shared" ref="AA5:AA12" si="5">Y5+Z5</f>
        <v>57.3</v>
      </c>
      <c r="AC5" s="2">
        <f>AVERAGE(27.6,5.7)</f>
        <v>16.650000000000002</v>
      </c>
      <c r="AD5" s="2">
        <f t="shared" ref="AD5:AD12" si="6">AB5+AC5</f>
        <v>16.650000000000002</v>
      </c>
      <c r="AE5" s="9">
        <f t="shared" ref="AE5:AE12" si="7">AA5+AD5</f>
        <v>73.95</v>
      </c>
      <c r="AG5" s="2">
        <v>23.12</v>
      </c>
      <c r="AH5" s="2">
        <f>AVERAGE(6,17.73)</f>
        <v>11.865</v>
      </c>
      <c r="AI5" s="2">
        <f>AVERAGE(3,10.91)</f>
        <v>6.9550000000000001</v>
      </c>
      <c r="AJ5" s="9">
        <f t="shared" ref="AJ5:AJ12" si="8">AG5</f>
        <v>23.12</v>
      </c>
      <c r="AK5" s="2">
        <v>2.9</v>
      </c>
      <c r="AL5" s="9">
        <f t="shared" ref="AL5:AL12" si="9">SUM(X5+AA5+AD5+AF5+AG5+AK5)</f>
        <v>99.970000000000013</v>
      </c>
      <c r="AM5" s="9" t="s">
        <v>458</v>
      </c>
      <c r="AN5" s="2" t="s">
        <v>462</v>
      </c>
      <c r="AQ5" s="2">
        <f>AVERAGE(7.4,7,2,6)</f>
        <v>5.6</v>
      </c>
      <c r="AR5" s="2" t="s">
        <v>703</v>
      </c>
      <c r="AS5" s="2">
        <v>5.6</v>
      </c>
      <c r="AT5" s="2" t="s">
        <v>704</v>
      </c>
      <c r="AU5" s="2">
        <f>AVERAGE(450,1327.8,1620.6,683.5)</f>
        <v>1020.4749999999999</v>
      </c>
      <c r="AX5" s="2">
        <v>13.8</v>
      </c>
      <c r="AY5" s="2" t="s">
        <v>1061</v>
      </c>
      <c r="AZ5" s="2" t="s">
        <v>1062</v>
      </c>
    </row>
    <row r="6" spans="1:59">
      <c r="A6" s="2" t="s">
        <v>5</v>
      </c>
      <c r="B6" s="2" t="s">
        <v>5</v>
      </c>
      <c r="C6" s="2" t="s">
        <v>5</v>
      </c>
      <c r="D6" s="2" t="s">
        <v>274</v>
      </c>
      <c r="E6" s="2" t="s">
        <v>275</v>
      </c>
      <c r="F6" s="2">
        <v>0</v>
      </c>
      <c r="G6" s="2">
        <f>LOG(O6)</f>
        <v>1.6922238545102826</v>
      </c>
      <c r="H6" s="2">
        <f t="shared" si="2"/>
        <v>3.6273658565927325</v>
      </c>
      <c r="J6" s="2">
        <f t="shared" si="3"/>
        <v>1.3771847870814182</v>
      </c>
      <c r="K6" s="2">
        <f t="shared" si="4"/>
        <v>1.847778242332651</v>
      </c>
      <c r="L6" s="2">
        <f t="shared" si="0"/>
        <v>1.0051805125037803</v>
      </c>
      <c r="M6" s="2">
        <f t="shared" si="1"/>
        <v>0.34242268082220628</v>
      </c>
      <c r="N6" s="2">
        <v>1</v>
      </c>
      <c r="O6" s="12">
        <v>49.229321991100193</v>
      </c>
      <c r="P6" s="2">
        <v>6</v>
      </c>
      <c r="Q6" s="9" t="s">
        <v>305</v>
      </c>
      <c r="R6" s="9" t="s">
        <v>308</v>
      </c>
      <c r="S6" s="13">
        <v>4240</v>
      </c>
      <c r="T6" s="8">
        <v>5</v>
      </c>
      <c r="U6" s="9" t="s">
        <v>305</v>
      </c>
      <c r="V6" s="2" t="s">
        <v>310</v>
      </c>
      <c r="W6" s="2" t="s">
        <v>311</v>
      </c>
      <c r="X6" s="9">
        <v>0</v>
      </c>
      <c r="Y6" s="9">
        <f>AVERAGE(28.5,19,24)</f>
        <v>23.833333333333332</v>
      </c>
      <c r="Z6" s="9"/>
      <c r="AA6" s="9">
        <f t="shared" si="5"/>
        <v>23.833333333333332</v>
      </c>
      <c r="AB6" s="9"/>
      <c r="AC6" s="9">
        <f>AVERAGE(2.7,12,0)</f>
        <v>4.8999999999999995</v>
      </c>
      <c r="AD6" s="2">
        <f t="shared" si="6"/>
        <v>4.8999999999999995</v>
      </c>
      <c r="AE6" s="9">
        <f t="shared" si="7"/>
        <v>28.733333333333331</v>
      </c>
      <c r="AF6" s="9"/>
      <c r="AG6" s="9">
        <v>70.433333333333337</v>
      </c>
      <c r="AH6" s="9">
        <f>AVERAGE(19.4,13,32.6,35.1)</f>
        <v>25.024999999999999</v>
      </c>
      <c r="AI6" s="9">
        <f>AVERAGE(34.4,51,15.2,19.3)</f>
        <v>29.975000000000001</v>
      </c>
      <c r="AJ6" s="9">
        <f t="shared" si="8"/>
        <v>70.433333333333337</v>
      </c>
      <c r="AK6" s="9">
        <f>AVERAGE(1.6,1,0)</f>
        <v>0.8666666666666667</v>
      </c>
      <c r="AL6" s="9">
        <f t="shared" si="9"/>
        <v>100.03333333333333</v>
      </c>
      <c r="AM6" s="9" t="s">
        <v>458</v>
      </c>
      <c r="AN6" s="2" t="s">
        <v>463</v>
      </c>
      <c r="AO6" s="9"/>
      <c r="AP6" s="9"/>
      <c r="AQ6" s="9">
        <f>AVERAGE(6.4,8.4,7.1,10.2,18.5)</f>
        <v>10.119999999999999</v>
      </c>
      <c r="AR6" s="9" t="s">
        <v>705</v>
      </c>
      <c r="AS6" s="2">
        <v>10.119999999999999</v>
      </c>
      <c r="AT6" s="2" t="s">
        <v>324</v>
      </c>
      <c r="AU6" s="2">
        <f>AVERAGE(454,558,564,842,371,345)</f>
        <v>522.33333333333337</v>
      </c>
      <c r="AV6" s="9"/>
      <c r="AW6" s="9"/>
      <c r="AX6" s="9">
        <v>2.2000000000000002</v>
      </c>
      <c r="AY6" s="9" t="s">
        <v>1063</v>
      </c>
      <c r="AZ6" s="2" t="s">
        <v>1064</v>
      </c>
      <c r="BA6" s="9"/>
      <c r="BB6" s="9"/>
      <c r="BC6" s="9"/>
      <c r="BD6" s="9"/>
      <c r="BE6" s="9"/>
      <c r="BF6" s="9"/>
      <c r="BG6" s="9"/>
    </row>
    <row r="7" spans="1:59">
      <c r="A7" s="2" t="s">
        <v>6</v>
      </c>
      <c r="B7" s="2" t="s">
        <v>6</v>
      </c>
      <c r="C7" s="2" t="s">
        <v>6</v>
      </c>
      <c r="D7" s="2" t="s">
        <v>274</v>
      </c>
      <c r="E7" s="2" t="s">
        <v>275</v>
      </c>
      <c r="F7" s="2">
        <v>0</v>
      </c>
      <c r="J7" s="2">
        <f t="shared" si="3"/>
        <v>1.7450747915820575</v>
      </c>
      <c r="K7" s="2">
        <f t="shared" si="4"/>
        <v>1.3944516808262162</v>
      </c>
      <c r="L7" s="2">
        <f t="shared" si="0"/>
        <v>0.90308998699194354</v>
      </c>
      <c r="M7" s="2">
        <f t="shared" si="1"/>
        <v>1.6998377258672457</v>
      </c>
      <c r="N7" s="2">
        <v>1</v>
      </c>
      <c r="O7" s="9"/>
      <c r="P7" s="14"/>
      <c r="Q7" s="9"/>
      <c r="R7" s="9"/>
      <c r="S7" s="13"/>
      <c r="T7" s="8"/>
      <c r="U7" s="9"/>
      <c r="V7" s="2"/>
      <c r="W7" s="2"/>
      <c r="X7" s="9">
        <v>0</v>
      </c>
      <c r="Y7" s="9">
        <f>AVERAGE(55.6)</f>
        <v>55.6</v>
      </c>
      <c r="Z7" s="9"/>
      <c r="AA7" s="9">
        <f t="shared" si="5"/>
        <v>55.6</v>
      </c>
      <c r="AB7" s="9"/>
      <c r="AC7" s="9">
        <f>AVERAGE(5.7)</f>
        <v>5.7</v>
      </c>
      <c r="AD7" s="2">
        <f t="shared" si="6"/>
        <v>5.7</v>
      </c>
      <c r="AE7" s="9">
        <f t="shared" si="7"/>
        <v>61.300000000000004</v>
      </c>
      <c r="AF7" s="9"/>
      <c r="AG7" s="9">
        <v>24.8</v>
      </c>
      <c r="AH7" s="9">
        <f>AVERAGE(19.8)</f>
        <v>19.8</v>
      </c>
      <c r="AI7" s="9">
        <f>AVERAGE(5)</f>
        <v>5</v>
      </c>
      <c r="AJ7" s="9">
        <f t="shared" si="8"/>
        <v>24.8</v>
      </c>
      <c r="AK7" s="9">
        <f>4.4+0.4+9.1</f>
        <v>13.9</v>
      </c>
      <c r="AL7" s="9">
        <f t="shared" si="9"/>
        <v>100.00000000000001</v>
      </c>
      <c r="AM7" s="9" t="s">
        <v>460</v>
      </c>
      <c r="AN7" s="2" t="s">
        <v>464</v>
      </c>
      <c r="AO7" s="9"/>
      <c r="AP7" s="9"/>
      <c r="AQ7" s="9">
        <v>8</v>
      </c>
      <c r="AR7" s="9" t="s">
        <v>706</v>
      </c>
      <c r="AS7" s="2">
        <v>8</v>
      </c>
      <c r="AT7" s="2" t="s">
        <v>464</v>
      </c>
      <c r="AU7" s="2">
        <f>AVERAGE(761)</f>
        <v>761</v>
      </c>
      <c r="AV7" s="9"/>
      <c r="AW7" s="9"/>
      <c r="AX7" s="9">
        <v>50.1</v>
      </c>
      <c r="AY7" s="9"/>
      <c r="AZ7" s="2" t="s">
        <v>464</v>
      </c>
      <c r="BA7" s="9"/>
      <c r="BB7" s="9"/>
      <c r="BC7" s="9"/>
      <c r="BD7" s="9"/>
      <c r="BE7" s="9"/>
      <c r="BF7" s="9"/>
      <c r="BG7" s="9"/>
    </row>
    <row r="8" spans="1:59">
      <c r="A8" s="2" t="s">
        <v>7</v>
      </c>
      <c r="B8" s="2" t="s">
        <v>7</v>
      </c>
      <c r="C8" s="2" t="s">
        <v>7</v>
      </c>
      <c r="D8" s="2" t="s">
        <v>274</v>
      </c>
      <c r="E8" s="2" t="s">
        <v>275</v>
      </c>
      <c r="F8" s="2">
        <v>0</v>
      </c>
      <c r="G8" s="2">
        <f>LOG(O8)</f>
        <v>1.6857810707033287</v>
      </c>
      <c r="H8" s="2">
        <f t="shared" si="2"/>
        <v>3.6580113966571126</v>
      </c>
      <c r="J8" s="2">
        <f t="shared" si="3"/>
        <v>1.3448832793698631</v>
      </c>
      <c r="K8" s="2">
        <f t="shared" si="4"/>
        <v>1.7601710828477963</v>
      </c>
      <c r="L8" s="2">
        <f t="shared" si="0"/>
        <v>0.81513481663681364</v>
      </c>
      <c r="M8" s="2">
        <f t="shared" si="1"/>
        <v>0.86923171973097613</v>
      </c>
      <c r="N8" s="2">
        <v>1</v>
      </c>
      <c r="O8" s="12">
        <v>48.504392626122261</v>
      </c>
      <c r="P8" s="2">
        <v>9</v>
      </c>
      <c r="Q8" s="9" t="s">
        <v>305</v>
      </c>
      <c r="R8" s="9" t="s">
        <v>308</v>
      </c>
      <c r="S8" s="10">
        <v>4550</v>
      </c>
      <c r="T8" s="10">
        <v>3</v>
      </c>
      <c r="U8" s="2" t="s">
        <v>305</v>
      </c>
      <c r="V8" s="2" t="s">
        <v>306</v>
      </c>
      <c r="W8" s="2" t="s">
        <v>311</v>
      </c>
      <c r="X8" s="2">
        <v>0</v>
      </c>
      <c r="Y8" s="2">
        <f>AVERAGE(15.6,5.2,46.8,20.9)</f>
        <v>22.125</v>
      </c>
      <c r="AA8" s="9">
        <f t="shared" si="5"/>
        <v>22.125</v>
      </c>
      <c r="AC8" s="2">
        <f>AVERAGE(8.4,11.7,11.8)</f>
        <v>10.633333333333335</v>
      </c>
      <c r="AD8" s="2">
        <f t="shared" si="6"/>
        <v>10.633333333333335</v>
      </c>
      <c r="AE8" s="9">
        <f t="shared" si="7"/>
        <v>32.758333333333333</v>
      </c>
      <c r="AG8" s="9">
        <v>57.566666666666677</v>
      </c>
      <c r="AH8" s="2">
        <f>AVERAGE(43,14.7,10.2)</f>
        <v>22.633333333333336</v>
      </c>
      <c r="AI8" s="2">
        <f>AVERAGE(22.6,16.3,65.9)</f>
        <v>34.933333333333337</v>
      </c>
      <c r="AJ8" s="9">
        <f t="shared" si="8"/>
        <v>57.566666666666677</v>
      </c>
      <c r="AK8" s="2">
        <f>AVERAGE(0,10.1)+4.6</f>
        <v>9.6499999999999986</v>
      </c>
      <c r="AL8" s="9">
        <f t="shared" si="9"/>
        <v>99.975000000000023</v>
      </c>
      <c r="AM8" s="9" t="s">
        <v>458</v>
      </c>
      <c r="AN8" s="2" t="s">
        <v>465</v>
      </c>
      <c r="AQ8" s="2">
        <f>AVERAGE(5.8,6.8,7)</f>
        <v>6.5333333333333341</v>
      </c>
      <c r="AR8" s="2" t="s">
        <v>707</v>
      </c>
      <c r="AS8" s="2">
        <v>6.5333333333333341</v>
      </c>
      <c r="AT8" s="2" t="s">
        <v>324</v>
      </c>
      <c r="AU8" s="2">
        <f>AVERAGE(601,699,769)</f>
        <v>689.66666666666663</v>
      </c>
      <c r="AX8" s="2">
        <v>7.3999999999999995</v>
      </c>
      <c r="AY8" s="2" t="s">
        <v>1065</v>
      </c>
      <c r="AZ8" s="2" t="s">
        <v>1066</v>
      </c>
    </row>
    <row r="9" spans="1:59">
      <c r="A9" s="2" t="s">
        <v>8</v>
      </c>
      <c r="B9" s="2" t="s">
        <v>8</v>
      </c>
      <c r="C9" s="2" t="s">
        <v>8</v>
      </c>
      <c r="D9" s="2" t="s">
        <v>274</v>
      </c>
      <c r="E9" s="2" t="s">
        <v>275</v>
      </c>
      <c r="F9" s="2">
        <v>0</v>
      </c>
      <c r="J9" s="2">
        <f t="shared" si="3"/>
        <v>1.5171958979499742</v>
      </c>
      <c r="K9" s="2">
        <f t="shared" si="4"/>
        <v>1.5757649805367193</v>
      </c>
      <c r="L9" s="2">
        <f t="shared" si="0"/>
        <v>0.77815125038364363</v>
      </c>
      <c r="M9" s="2">
        <f t="shared" si="1"/>
        <v>2.2600713879850747</v>
      </c>
      <c r="N9" s="2">
        <v>1</v>
      </c>
      <c r="Q9" s="9"/>
      <c r="R9" s="9"/>
      <c r="S9" s="10"/>
      <c r="T9" s="10"/>
      <c r="U9" s="2"/>
      <c r="V9" s="2"/>
      <c r="W9" s="2"/>
      <c r="X9" s="2">
        <v>0</v>
      </c>
      <c r="Y9" s="2">
        <f>AVERAGE(13.5,52.3)</f>
        <v>32.9</v>
      </c>
      <c r="Z9" s="2">
        <f>AVERAGE(26.7,1)</f>
        <v>13.85</v>
      </c>
      <c r="AA9" s="9">
        <f t="shared" si="5"/>
        <v>46.75</v>
      </c>
      <c r="AC9" s="2">
        <f>AVERAGE(3.7,1.1)</f>
        <v>2.4000000000000004</v>
      </c>
      <c r="AD9" s="2">
        <f t="shared" si="6"/>
        <v>2.4000000000000004</v>
      </c>
      <c r="AE9" s="9">
        <f t="shared" si="7"/>
        <v>49.15</v>
      </c>
      <c r="AG9" s="9">
        <v>37.65</v>
      </c>
      <c r="AH9" s="2">
        <f>AVERAGE(38.4,33.9)</f>
        <v>36.15</v>
      </c>
      <c r="AI9" s="2">
        <f>AVERAGE(1.6,1.4)</f>
        <v>1.5</v>
      </c>
      <c r="AJ9" s="9">
        <f t="shared" si="8"/>
        <v>37.65</v>
      </c>
      <c r="AK9" s="2">
        <f>13.2</f>
        <v>13.2</v>
      </c>
      <c r="AL9" s="9">
        <f t="shared" si="9"/>
        <v>100</v>
      </c>
      <c r="AM9" s="9" t="s">
        <v>458</v>
      </c>
      <c r="AN9" s="2" t="s">
        <v>466</v>
      </c>
      <c r="AQ9" s="2">
        <v>6</v>
      </c>
      <c r="AS9" s="2">
        <v>6</v>
      </c>
      <c r="AT9" s="2" t="s">
        <v>708</v>
      </c>
      <c r="AU9" s="2">
        <f>1150</f>
        <v>1150</v>
      </c>
      <c r="AX9" s="2">
        <v>182</v>
      </c>
      <c r="AZ9" s="2" t="s">
        <v>1067</v>
      </c>
    </row>
    <row r="10" spans="1:59">
      <c r="A10" s="2" t="s">
        <v>9</v>
      </c>
      <c r="B10" s="2" t="s">
        <v>9</v>
      </c>
      <c r="C10" s="2" t="s">
        <v>9</v>
      </c>
      <c r="D10" s="2" t="s">
        <v>274</v>
      </c>
      <c r="E10" s="2" t="s">
        <v>275</v>
      </c>
      <c r="F10" s="2">
        <v>0</v>
      </c>
      <c r="G10" s="2">
        <f t="shared" ref="G10:G28" si="10">LOG(O10)</f>
        <v>1.7296633598713047</v>
      </c>
      <c r="J10" s="2">
        <f t="shared" si="3"/>
        <v>1.492294657634319</v>
      </c>
      <c r="K10" s="2">
        <f t="shared" si="4"/>
        <v>1.7930916001765802</v>
      </c>
      <c r="L10" s="2">
        <f t="shared" si="0"/>
        <v>0.87506126339170009</v>
      </c>
      <c r="M10" s="2">
        <f t="shared" si="1"/>
        <v>1.2946131706671069</v>
      </c>
      <c r="N10" s="2">
        <v>1</v>
      </c>
      <c r="O10" s="12">
        <v>53.661568147347396</v>
      </c>
      <c r="P10" s="2">
        <v>1</v>
      </c>
      <c r="Q10" s="9" t="s">
        <v>305</v>
      </c>
      <c r="R10" s="9" t="s">
        <v>308</v>
      </c>
      <c r="S10" s="10"/>
      <c r="T10" s="10"/>
      <c r="U10" s="2"/>
      <c r="V10" s="2"/>
      <c r="W10" s="2"/>
      <c r="X10" s="2">
        <v>0</v>
      </c>
      <c r="Y10" s="2">
        <f>AVERAGE(25,25.5,42.7)</f>
        <v>31.066666666666666</v>
      </c>
      <c r="AA10" s="9">
        <f t="shared" si="5"/>
        <v>31.066666666666666</v>
      </c>
      <c r="AC10" s="2">
        <f>AVERAGE(1.5)</f>
        <v>1.5</v>
      </c>
      <c r="AD10" s="2">
        <f t="shared" si="6"/>
        <v>1.5</v>
      </c>
      <c r="AE10" s="9">
        <f t="shared" si="7"/>
        <v>32.566666666666663</v>
      </c>
      <c r="AG10" s="9">
        <v>62.1</v>
      </c>
      <c r="AH10" s="2">
        <f>AVERAGE(54,19)</f>
        <v>36.5</v>
      </c>
      <c r="AI10" s="2">
        <f>AVERAGE(25.6)</f>
        <v>25.6</v>
      </c>
      <c r="AJ10" s="9">
        <f t="shared" si="8"/>
        <v>62.1</v>
      </c>
      <c r="AK10" s="2">
        <f>5.3</f>
        <v>5.3</v>
      </c>
      <c r="AL10" s="9">
        <f t="shared" si="9"/>
        <v>99.966666666666654</v>
      </c>
      <c r="AM10" s="9" t="s">
        <v>458</v>
      </c>
      <c r="AN10" s="2" t="s">
        <v>467</v>
      </c>
      <c r="AQ10" s="2">
        <f>MEDIAN(6,7.5,8,7,15.58)</f>
        <v>7.5</v>
      </c>
      <c r="AR10" s="2" t="s">
        <v>709</v>
      </c>
      <c r="AS10" s="2">
        <v>7.5</v>
      </c>
      <c r="AT10" s="2" t="s">
        <v>710</v>
      </c>
      <c r="AU10" s="2">
        <v>580</v>
      </c>
      <c r="AX10" s="2">
        <v>19.706666666666667</v>
      </c>
      <c r="AY10" s="2" t="s">
        <v>1068</v>
      </c>
      <c r="AZ10" s="2" t="s">
        <v>1069</v>
      </c>
    </row>
    <row r="11" spans="1:59">
      <c r="A11" s="2" t="s">
        <v>10</v>
      </c>
      <c r="B11" s="2" t="s">
        <v>10</v>
      </c>
      <c r="C11" s="2" t="s">
        <v>10</v>
      </c>
      <c r="D11" s="2" t="s">
        <v>274</v>
      </c>
      <c r="E11" s="2" t="s">
        <v>275</v>
      </c>
      <c r="F11" s="2">
        <v>0</v>
      </c>
      <c r="G11" s="2">
        <f t="shared" si="10"/>
        <v>1.6894486101852577</v>
      </c>
      <c r="H11" s="2">
        <f t="shared" si="2"/>
        <v>3.7283537820212285</v>
      </c>
      <c r="J11" s="2">
        <f t="shared" si="3"/>
        <v>1.5192653146014738</v>
      </c>
      <c r="K11" s="2">
        <f t="shared" si="4"/>
        <v>1.7509489675311822</v>
      </c>
      <c r="L11" s="2">
        <f t="shared" si="0"/>
        <v>1.173962834523349</v>
      </c>
      <c r="M11" s="2">
        <f t="shared" si="1"/>
        <v>1.4927603890268375</v>
      </c>
      <c r="N11" s="2">
        <v>1</v>
      </c>
      <c r="O11" s="12">
        <v>48.915738000000005</v>
      </c>
      <c r="P11" s="2">
        <v>30</v>
      </c>
      <c r="Q11" s="9" t="s">
        <v>305</v>
      </c>
      <c r="R11" s="9" t="s">
        <v>308</v>
      </c>
      <c r="S11" s="13">
        <v>5350</v>
      </c>
      <c r="T11" s="8">
        <v>177</v>
      </c>
      <c r="U11" s="9" t="s">
        <v>305</v>
      </c>
      <c r="V11" s="2" t="s">
        <v>306</v>
      </c>
      <c r="W11" s="2" t="s">
        <v>313</v>
      </c>
      <c r="X11" s="9">
        <v>0</v>
      </c>
      <c r="Y11" s="9">
        <f>AVERAGE(40.6,49.9,42.1,12.5,23,28.5,34.8)</f>
        <v>33.057142857142857</v>
      </c>
      <c r="Z11" s="9"/>
      <c r="AA11" s="9">
        <f t="shared" si="5"/>
        <v>33.057142857142857</v>
      </c>
      <c r="AB11" s="9"/>
      <c r="AC11" s="2">
        <f>AVERAGE(0.7,1,9.6,18.2,8.5,22.5,7.9)</f>
        <v>9.7714285714285722</v>
      </c>
      <c r="AD11" s="2">
        <f t="shared" si="6"/>
        <v>9.7714285714285722</v>
      </c>
      <c r="AE11" s="9">
        <f t="shared" si="7"/>
        <v>42.828571428571429</v>
      </c>
      <c r="AF11" s="9"/>
      <c r="AG11" s="2">
        <v>56.357142857142854</v>
      </c>
      <c r="AH11" s="9"/>
      <c r="AI11" s="9"/>
      <c r="AJ11" s="9">
        <f t="shared" si="8"/>
        <v>56.357142857142854</v>
      </c>
      <c r="AK11" s="2">
        <f>AVERAGE(0.3,0,0,0,0,1.6)+0.5</f>
        <v>0.81666666666666665</v>
      </c>
      <c r="AL11" s="9">
        <f t="shared" si="9"/>
        <v>100.00238095238095</v>
      </c>
      <c r="AM11" s="9" t="s">
        <v>458</v>
      </c>
      <c r="AN11" s="2" t="s">
        <v>468</v>
      </c>
      <c r="AO11" s="9"/>
      <c r="AP11" s="9"/>
      <c r="AQ11" s="9">
        <f>AVERAGE(13.6,16.3,12.1,14.9,21.8, 15.5, 15.7, 12.6, 10.2, 11.5, 11, 18.9, 21.3, 19.4, 9.1)</f>
        <v>14.926666666666668</v>
      </c>
      <c r="AR11" s="9" t="s">
        <v>711</v>
      </c>
      <c r="AS11" s="2">
        <v>14.926666666666668</v>
      </c>
      <c r="AT11" s="2" t="s">
        <v>324</v>
      </c>
      <c r="AU11" s="2">
        <f>AVERAGE(23,830)</f>
        <v>426.5</v>
      </c>
      <c r="AV11" s="9"/>
      <c r="AW11" s="9"/>
      <c r="AX11" s="9">
        <v>31.1</v>
      </c>
      <c r="AY11" s="9" t="s">
        <v>1070</v>
      </c>
      <c r="AZ11" s="2" t="s">
        <v>324</v>
      </c>
      <c r="BA11" s="9"/>
      <c r="BB11" s="9"/>
      <c r="BC11" s="9"/>
      <c r="BD11" s="9"/>
      <c r="BE11" s="9"/>
      <c r="BF11" s="9"/>
      <c r="BG11" s="9"/>
    </row>
    <row r="12" spans="1:59">
      <c r="A12" s="2" t="s">
        <v>11</v>
      </c>
      <c r="B12" s="2" t="s">
        <v>11</v>
      </c>
      <c r="C12" s="2" t="s">
        <v>11</v>
      </c>
      <c r="D12" s="2" t="s">
        <v>274</v>
      </c>
      <c r="E12" s="2" t="s">
        <v>275</v>
      </c>
      <c r="F12" s="2">
        <v>0</v>
      </c>
      <c r="G12" s="2">
        <f t="shared" si="10"/>
        <v>1.6917443685913742</v>
      </c>
      <c r="H12" s="2">
        <f t="shared" si="2"/>
        <v>3.7488080049586023</v>
      </c>
      <c r="J12" s="2">
        <f t="shared" si="3"/>
        <v>1.61066016308988</v>
      </c>
      <c r="K12" s="2">
        <f t="shared" si="4"/>
        <v>1.6541765418779606</v>
      </c>
      <c r="L12" s="2">
        <f t="shared" si="0"/>
        <v>0.79556405190132529</v>
      </c>
      <c r="M12" s="2">
        <f t="shared" si="1"/>
        <v>0.90417436828416353</v>
      </c>
      <c r="N12" s="2">
        <v>1</v>
      </c>
      <c r="O12" s="12">
        <v>49.174999999999997</v>
      </c>
      <c r="P12" s="2">
        <v>20</v>
      </c>
      <c r="Q12" s="9" t="s">
        <v>305</v>
      </c>
      <c r="R12" s="9" t="s">
        <v>308</v>
      </c>
      <c r="S12" s="8">
        <v>5608</v>
      </c>
      <c r="T12" s="10">
        <v>40</v>
      </c>
      <c r="U12" s="2" t="s">
        <v>305</v>
      </c>
      <c r="V12" s="15" t="s">
        <v>314</v>
      </c>
      <c r="W12" s="2"/>
      <c r="X12" s="9">
        <v>0</v>
      </c>
      <c r="Y12" s="2">
        <v>40.799999999999997</v>
      </c>
      <c r="AA12" s="9">
        <f t="shared" si="5"/>
        <v>40.799999999999997</v>
      </c>
      <c r="AC12" s="2">
        <v>10.6</v>
      </c>
      <c r="AD12" s="2">
        <f t="shared" si="6"/>
        <v>10.6</v>
      </c>
      <c r="AE12" s="9">
        <f t="shared" si="7"/>
        <v>51.4</v>
      </c>
      <c r="AG12" s="2">
        <v>45.1</v>
      </c>
      <c r="AJ12" s="9">
        <f t="shared" si="8"/>
        <v>45.1</v>
      </c>
      <c r="AK12" s="2">
        <v>3.5</v>
      </c>
      <c r="AL12" s="9">
        <f t="shared" si="9"/>
        <v>100</v>
      </c>
      <c r="AM12" s="9" t="s">
        <v>460</v>
      </c>
      <c r="AN12" s="2" t="s">
        <v>469</v>
      </c>
      <c r="AQ12" s="2">
        <f>AVERAGE(7, 7.5,6.6,3.2,6.3,8.7,6.8,4.4,6,5.8,6.4)</f>
        <v>6.2454545454545443</v>
      </c>
      <c r="AR12" s="9" t="s">
        <v>713</v>
      </c>
      <c r="AS12" s="2">
        <v>6.2454545454545443</v>
      </c>
      <c r="AT12" s="2" t="s">
        <v>324</v>
      </c>
      <c r="AX12" s="2">
        <v>8.02</v>
      </c>
      <c r="AY12" s="9" t="s">
        <v>1071</v>
      </c>
      <c r="AZ12" s="2" t="s">
        <v>328</v>
      </c>
    </row>
    <row r="13" spans="1:59">
      <c r="A13" s="2" t="s">
        <v>12</v>
      </c>
      <c r="B13" s="2" t="s">
        <v>12</v>
      </c>
      <c r="C13" s="2" t="s">
        <v>12</v>
      </c>
      <c r="D13" s="2" t="s">
        <v>274</v>
      </c>
      <c r="E13" s="2" t="s">
        <v>275</v>
      </c>
      <c r="F13" s="2">
        <v>0</v>
      </c>
      <c r="G13" s="2">
        <f t="shared" si="10"/>
        <v>1.7539658658651602</v>
      </c>
      <c r="L13" s="2">
        <f t="shared" si="0"/>
        <v>0.79239168949825389</v>
      </c>
      <c r="N13" s="2">
        <v>1</v>
      </c>
      <c r="O13" s="12">
        <v>56.75</v>
      </c>
      <c r="P13" s="2">
        <v>2</v>
      </c>
      <c r="Q13" s="9" t="s">
        <v>305</v>
      </c>
      <c r="R13" s="9" t="s">
        <v>308</v>
      </c>
      <c r="S13" s="10"/>
      <c r="T13" s="10"/>
      <c r="U13" s="2"/>
      <c r="V13" s="2"/>
      <c r="W13" s="2"/>
      <c r="X13" s="9"/>
      <c r="AE13" s="9"/>
      <c r="AJ13" s="9"/>
      <c r="AL13" s="9"/>
      <c r="AM13" s="9"/>
      <c r="AQ13" s="2">
        <v>6.2</v>
      </c>
      <c r="AR13" s="9" t="s">
        <v>714</v>
      </c>
      <c r="AS13" s="2">
        <v>6.2</v>
      </c>
      <c r="AT13" s="2" t="s">
        <v>715</v>
      </c>
      <c r="AY13" s="9"/>
    </row>
    <row r="14" spans="1:59">
      <c r="A14" s="2" t="s">
        <v>13</v>
      </c>
      <c r="B14" s="2" t="s">
        <v>13</v>
      </c>
      <c r="C14" s="2" t="s">
        <v>13</v>
      </c>
      <c r="D14" s="2" t="s">
        <v>274</v>
      </c>
      <c r="E14" s="2" t="s">
        <v>275</v>
      </c>
      <c r="F14" s="2">
        <v>0</v>
      </c>
      <c r="G14" s="2">
        <f t="shared" si="10"/>
        <v>1.742636833403753</v>
      </c>
      <c r="H14" s="2">
        <f t="shared" si="2"/>
        <v>3.7168377232995247</v>
      </c>
      <c r="J14" s="2">
        <f>LOG(Y14)</f>
        <v>1.6024217526832436</v>
      </c>
      <c r="K14" s="2">
        <f>LOG(AG14)</f>
        <v>1.6824459385139579</v>
      </c>
      <c r="L14" s="2">
        <f t="shared" si="0"/>
        <v>0.89612520685912156</v>
      </c>
      <c r="M14" s="2">
        <f t="shared" ref="M14:M19" si="11">LOG(AX14)</f>
        <v>1.3424226808222062</v>
      </c>
      <c r="N14" s="2">
        <v>1</v>
      </c>
      <c r="O14" s="12">
        <v>55.288757910168258</v>
      </c>
      <c r="P14" s="2">
        <v>39</v>
      </c>
      <c r="Q14" s="9" t="s">
        <v>305</v>
      </c>
      <c r="R14" s="9" t="s">
        <v>308</v>
      </c>
      <c r="S14" s="13">
        <v>5210</v>
      </c>
      <c r="T14" s="8">
        <v>76</v>
      </c>
      <c r="U14" s="9" t="s">
        <v>305</v>
      </c>
      <c r="V14" s="2" t="s">
        <v>306</v>
      </c>
      <c r="W14" s="2" t="s">
        <v>315</v>
      </c>
      <c r="X14" s="9">
        <v>0</v>
      </c>
      <c r="Y14" s="2">
        <f>AVERAGE(25.5,52.3,42.3)</f>
        <v>40.033333333333331</v>
      </c>
      <c r="Z14" s="9"/>
      <c r="AA14" s="9">
        <f>Y14+Z14</f>
        <v>40.033333333333331</v>
      </c>
      <c r="AB14" s="9"/>
      <c r="AC14" s="2">
        <f>AVERAGE(12.6,1.1,5.4)</f>
        <v>6.3666666666666671</v>
      </c>
      <c r="AD14" s="2">
        <f>AB14+AC14</f>
        <v>6.3666666666666671</v>
      </c>
      <c r="AE14" s="9">
        <f>AA14+AD14</f>
        <v>46.4</v>
      </c>
      <c r="AF14" s="9"/>
      <c r="AG14" s="2">
        <v>48.133333333333333</v>
      </c>
      <c r="AH14" s="9"/>
      <c r="AI14" s="9"/>
      <c r="AJ14" s="9">
        <f>AG14</f>
        <v>48.133333333333333</v>
      </c>
      <c r="AK14" s="2">
        <f>AVERAGE(5,11.3,1)-0.3</f>
        <v>5.4666666666666668</v>
      </c>
      <c r="AL14" s="9">
        <f>SUM(X14+AA14+AD14+AF14+AG14+AK14)</f>
        <v>100</v>
      </c>
      <c r="AM14" s="9" t="s">
        <v>458</v>
      </c>
      <c r="AN14" s="2" t="s">
        <v>469</v>
      </c>
      <c r="AO14" s="9"/>
      <c r="AP14" s="9"/>
      <c r="AQ14" s="9">
        <f>AVERAGE(8.5,7,6.3,5.5,7.5,9, 7.6,10.5,7.7,7.9, 9.1)</f>
        <v>7.8727272727272721</v>
      </c>
      <c r="AR14" s="9" t="s">
        <v>713</v>
      </c>
      <c r="AS14" s="2">
        <v>7.8727272727272721</v>
      </c>
      <c r="AT14" s="2" t="s">
        <v>324</v>
      </c>
      <c r="AV14" s="9"/>
      <c r="AW14" s="9"/>
      <c r="AX14" s="9">
        <v>22</v>
      </c>
      <c r="AY14" s="9" t="s">
        <v>1072</v>
      </c>
      <c r="AZ14" s="2" t="s">
        <v>324</v>
      </c>
      <c r="BA14" s="9"/>
      <c r="BB14" s="9"/>
      <c r="BC14" s="9"/>
      <c r="BD14" s="9"/>
      <c r="BE14" s="9"/>
      <c r="BG14" s="9"/>
    </row>
    <row r="15" spans="1:59">
      <c r="A15" s="2" t="s">
        <v>14</v>
      </c>
      <c r="B15" s="2" t="s">
        <v>1386</v>
      </c>
      <c r="C15" s="2" t="s">
        <v>14</v>
      </c>
      <c r="E15" s="2" t="s">
        <v>276</v>
      </c>
      <c r="F15" s="2">
        <v>0</v>
      </c>
      <c r="G15" s="2">
        <f t="shared" si="10"/>
        <v>1.3040365540994665</v>
      </c>
      <c r="H15" s="2">
        <f t="shared" si="2"/>
        <v>3.0969100130080562</v>
      </c>
      <c r="J15" s="2">
        <f>LOG(Y15)</f>
        <v>1.6266824662362944</v>
      </c>
      <c r="K15" s="2">
        <f>LOG(AG15)</f>
        <v>1.505149978319906</v>
      </c>
      <c r="L15" s="2">
        <f t="shared" si="0"/>
        <v>0.48734041990134858</v>
      </c>
      <c r="M15" s="2">
        <f t="shared" si="11"/>
        <v>0.84509804001425681</v>
      </c>
      <c r="N15" s="2">
        <v>0</v>
      </c>
      <c r="O15" s="12">
        <v>20.138937499999997</v>
      </c>
      <c r="P15" s="2">
        <v>8</v>
      </c>
      <c r="Q15" s="2" t="s">
        <v>316</v>
      </c>
      <c r="R15" s="9" t="s">
        <v>308</v>
      </c>
      <c r="S15" s="10">
        <v>1250</v>
      </c>
      <c r="T15" s="10">
        <v>55</v>
      </c>
      <c r="U15" s="2" t="s">
        <v>316</v>
      </c>
      <c r="V15" s="2" t="s">
        <v>317</v>
      </c>
      <c r="W15" s="2"/>
      <c r="X15" s="2">
        <v>0</v>
      </c>
      <c r="Y15" s="2">
        <f>AVERAGE(16,45,66)</f>
        <v>42.333333333333336</v>
      </c>
      <c r="AA15" s="9">
        <f>Y15+Z15</f>
        <v>42.333333333333336</v>
      </c>
      <c r="AD15" s="2">
        <f>AVERAGE(33,14,1)</f>
        <v>16</v>
      </c>
      <c r="AE15" s="9">
        <f>AA15+AD15</f>
        <v>58.333333333333336</v>
      </c>
      <c r="AG15" s="2">
        <v>32</v>
      </c>
      <c r="AJ15" s="9">
        <f>AG15</f>
        <v>32</v>
      </c>
      <c r="AK15" s="2">
        <v>9.6999999999999993</v>
      </c>
      <c r="AL15" s="9">
        <f>SUM(X15+AA15+AD15+AF15+AG15+AK15)</f>
        <v>100.03333333333335</v>
      </c>
      <c r="AM15" s="9" t="s">
        <v>458</v>
      </c>
      <c r="AN15" s="2" t="s">
        <v>470</v>
      </c>
      <c r="AQ15" s="2">
        <f>AVERAGE(3.3,4,2.3,3.2,2.9,2.7,3.1)</f>
        <v>3.0714285714285721</v>
      </c>
      <c r="AR15" s="2" t="s">
        <v>698</v>
      </c>
      <c r="AS15" s="2">
        <v>3.0714285714285721</v>
      </c>
      <c r="AT15" s="2" t="s">
        <v>470</v>
      </c>
      <c r="AX15" s="2">
        <v>7</v>
      </c>
      <c r="AY15" s="2" t="s">
        <v>973</v>
      </c>
      <c r="AZ15" s="2" t="s">
        <v>470</v>
      </c>
    </row>
    <row r="16" spans="1:59">
      <c r="A16" s="2" t="s">
        <v>15</v>
      </c>
      <c r="B16" s="2" t="s">
        <v>15</v>
      </c>
      <c r="C16" s="2" t="s">
        <v>15</v>
      </c>
      <c r="E16" s="2" t="s">
        <v>276</v>
      </c>
      <c r="F16" s="2">
        <v>0</v>
      </c>
      <c r="G16" s="2">
        <f t="shared" si="10"/>
        <v>1.2216005104087384</v>
      </c>
      <c r="I16" s="2">
        <f>LOG(X16)</f>
        <v>1.2922560713564761</v>
      </c>
      <c r="J16" s="2">
        <f>LOG(Y16)</f>
        <v>1.6344772701607315</v>
      </c>
      <c r="K16" s="2">
        <f>LOG(AG16)</f>
        <v>0.69019608002851374</v>
      </c>
      <c r="L16" s="2">
        <f t="shared" si="0"/>
        <v>0.49136169383427269</v>
      </c>
      <c r="M16" s="2">
        <f t="shared" si="11"/>
        <v>0.14612803567823801</v>
      </c>
      <c r="N16" s="2">
        <v>0</v>
      </c>
      <c r="O16" s="12">
        <v>16.657142857142858</v>
      </c>
      <c r="P16" s="2">
        <v>7</v>
      </c>
      <c r="Q16" s="2" t="s">
        <v>316</v>
      </c>
      <c r="R16" s="9" t="s">
        <v>308</v>
      </c>
      <c r="S16" s="10"/>
      <c r="T16" s="10"/>
      <c r="U16" s="2"/>
      <c r="V16" s="2"/>
      <c r="W16" s="2"/>
      <c r="X16" s="2">
        <v>19.600000000000001</v>
      </c>
      <c r="Y16" s="2">
        <v>43.1</v>
      </c>
      <c r="AA16" s="9">
        <f>Y16+Z16</f>
        <v>43.1</v>
      </c>
      <c r="AC16" s="2">
        <v>32.4</v>
      </c>
      <c r="AD16" s="2">
        <f>AB16+AC16</f>
        <v>32.4</v>
      </c>
      <c r="AE16" s="9">
        <f>AA16+AD16</f>
        <v>75.5</v>
      </c>
      <c r="AG16" s="9">
        <v>4.9000000000000004</v>
      </c>
      <c r="AH16" s="2">
        <v>0</v>
      </c>
      <c r="AI16" s="2">
        <v>4.9000000000000004</v>
      </c>
      <c r="AJ16" s="9">
        <f>AG16</f>
        <v>4.9000000000000004</v>
      </c>
      <c r="AK16" s="2">
        <v>0</v>
      </c>
      <c r="AL16" s="9">
        <f>SUM(X16+AA16+AD16+AF16+AG16+AK16)</f>
        <v>100</v>
      </c>
      <c r="AN16" s="2" t="s">
        <v>471</v>
      </c>
      <c r="AQ16" s="2">
        <v>3.1</v>
      </c>
      <c r="AR16" s="9" t="s">
        <v>697</v>
      </c>
      <c r="AS16" s="2">
        <v>3.1</v>
      </c>
      <c r="AT16" s="2" t="s">
        <v>716</v>
      </c>
      <c r="AX16" s="2">
        <v>1.4</v>
      </c>
      <c r="AZ16" s="2" t="s">
        <v>1073</v>
      </c>
    </row>
    <row r="17" spans="1:59">
      <c r="A17" s="2" t="s">
        <v>1371</v>
      </c>
      <c r="B17" s="2" t="s">
        <v>1371</v>
      </c>
      <c r="C17" s="2" t="s">
        <v>16</v>
      </c>
      <c r="E17" s="2" t="s">
        <v>276</v>
      </c>
      <c r="F17" s="2">
        <v>0</v>
      </c>
      <c r="G17" s="2">
        <f t="shared" si="10"/>
        <v>1.2525496467678328</v>
      </c>
      <c r="H17" s="2">
        <f t="shared" si="2"/>
        <v>2.8959747323590648</v>
      </c>
      <c r="L17" s="2">
        <f t="shared" si="0"/>
        <v>0.58357658563394932</v>
      </c>
      <c r="N17" s="2">
        <v>0</v>
      </c>
      <c r="O17" s="12">
        <v>17.887499999999999</v>
      </c>
      <c r="P17" s="2">
        <v>8</v>
      </c>
      <c r="Q17" s="2" t="s">
        <v>316</v>
      </c>
      <c r="R17" s="9" t="s">
        <v>308</v>
      </c>
      <c r="S17" s="10">
        <v>787</v>
      </c>
      <c r="T17" s="10">
        <v>56</v>
      </c>
      <c r="U17" s="2" t="s">
        <v>316</v>
      </c>
      <c r="V17" s="2" t="s">
        <v>319</v>
      </c>
      <c r="W17" s="2"/>
      <c r="AQ17" s="2">
        <f>AVERAGE(3.4,4.1,4)</f>
        <v>3.8333333333333335</v>
      </c>
      <c r="AR17" s="2" t="s">
        <v>697</v>
      </c>
      <c r="AS17" s="2">
        <v>3.8333333333333335</v>
      </c>
      <c r="AT17" s="2" t="s">
        <v>470</v>
      </c>
    </row>
    <row r="18" spans="1:59">
      <c r="A18" s="2" t="s">
        <v>17</v>
      </c>
      <c r="B18" s="2" t="s">
        <v>17</v>
      </c>
      <c r="C18" s="2" t="s">
        <v>17</v>
      </c>
      <c r="E18" s="2" t="s">
        <v>276</v>
      </c>
      <c r="F18" s="2">
        <v>0</v>
      </c>
      <c r="G18" s="2">
        <f t="shared" si="10"/>
        <v>1.2452882841967052</v>
      </c>
      <c r="H18" s="2">
        <f t="shared" si="2"/>
        <v>2.9813655090785445</v>
      </c>
      <c r="I18" s="2">
        <f>LOG(X18)</f>
        <v>1.0969100130080565</v>
      </c>
      <c r="J18" s="2">
        <f>LOG(Y18)</f>
        <v>1.7781512503836436</v>
      </c>
      <c r="K18" s="2">
        <f>LOG(AG18)</f>
        <v>1.2430380486862944</v>
      </c>
      <c r="L18" s="2">
        <f t="shared" si="0"/>
        <v>0.61278385671973545</v>
      </c>
      <c r="M18" s="2">
        <f t="shared" si="11"/>
        <v>0.9319661147281727</v>
      </c>
      <c r="N18" s="2">
        <v>0</v>
      </c>
      <c r="O18" s="12">
        <v>17.59090909090909</v>
      </c>
      <c r="P18" s="2">
        <v>11</v>
      </c>
      <c r="Q18" s="2" t="s">
        <v>316</v>
      </c>
      <c r="R18" s="9" t="s">
        <v>308</v>
      </c>
      <c r="S18" s="10">
        <v>958</v>
      </c>
      <c r="T18" s="10">
        <v>3</v>
      </c>
      <c r="U18" s="2" t="s">
        <v>316</v>
      </c>
      <c r="V18" s="2" t="s">
        <v>306</v>
      </c>
      <c r="W18" s="2" t="s">
        <v>320</v>
      </c>
      <c r="X18" s="9">
        <v>12.5</v>
      </c>
      <c r="Y18" s="2">
        <v>60</v>
      </c>
      <c r="AA18" s="9">
        <f t="shared" ref="AA18:AA24" si="12">Y18+Z18</f>
        <v>60</v>
      </c>
      <c r="AE18" s="9">
        <f t="shared" ref="AE18:AE24" si="13">AA18+AD18</f>
        <v>60</v>
      </c>
      <c r="AG18" s="9">
        <v>17.5</v>
      </c>
      <c r="AJ18" s="9">
        <f>AG18</f>
        <v>17.5</v>
      </c>
      <c r="AK18" s="2">
        <v>10</v>
      </c>
      <c r="AL18" s="9">
        <f t="shared" ref="AL18:AL24" si="14">SUM(X18+AA18+AD18+AF18+AG18+AK18)</f>
        <v>100</v>
      </c>
      <c r="AM18" s="9" t="s">
        <v>460</v>
      </c>
      <c r="AN18" s="2" t="s">
        <v>472</v>
      </c>
      <c r="AQ18" s="2">
        <v>4.0999999999999996</v>
      </c>
      <c r="AR18" s="2" t="s">
        <v>717</v>
      </c>
      <c r="AS18" s="2">
        <v>4.0999999999999996</v>
      </c>
      <c r="AT18" s="2" t="s">
        <v>470</v>
      </c>
      <c r="AX18" s="2">
        <v>8.5500000000000007</v>
      </c>
      <c r="AY18" s="2" t="s">
        <v>1074</v>
      </c>
      <c r="AZ18" s="2" t="s">
        <v>470</v>
      </c>
    </row>
    <row r="19" spans="1:59">
      <c r="A19" s="2" t="s">
        <v>18</v>
      </c>
      <c r="B19" s="2" t="s">
        <v>18</v>
      </c>
      <c r="C19" s="2" t="s">
        <v>18</v>
      </c>
      <c r="E19" s="2" t="s">
        <v>276</v>
      </c>
      <c r="F19" s="2">
        <v>0</v>
      </c>
      <c r="G19" s="2">
        <f t="shared" si="10"/>
        <v>1.2058970421512498</v>
      </c>
      <c r="H19" s="2">
        <f t="shared" si="2"/>
        <v>2.9951450573420946</v>
      </c>
      <c r="I19" s="2">
        <f>LOG(X19)</f>
        <v>0.90308998699194354</v>
      </c>
      <c r="J19" s="2">
        <f>LOG(Y19)</f>
        <v>1.8129133566428555</v>
      </c>
      <c r="K19" s="2">
        <f>LOG(AG19)</f>
        <v>1.4313637641589874</v>
      </c>
      <c r="L19" s="2">
        <f t="shared" si="0"/>
        <v>0.57978359661681012</v>
      </c>
      <c r="M19" s="2">
        <f t="shared" si="11"/>
        <v>1</v>
      </c>
      <c r="N19" s="2">
        <v>0</v>
      </c>
      <c r="O19" s="12">
        <v>16.065603418760777</v>
      </c>
      <c r="P19" s="2">
        <v>22</v>
      </c>
      <c r="Q19" s="2" t="s">
        <v>316</v>
      </c>
      <c r="R19" s="9" t="s">
        <v>308</v>
      </c>
      <c r="S19" s="13">
        <v>988.88333333333333</v>
      </c>
      <c r="T19" s="8">
        <v>12</v>
      </c>
      <c r="U19" s="9" t="s">
        <v>316</v>
      </c>
      <c r="V19" s="9" t="s">
        <v>312</v>
      </c>
      <c r="W19" s="9" t="s">
        <v>311</v>
      </c>
      <c r="X19" s="2">
        <v>8</v>
      </c>
      <c r="Y19" s="9">
        <v>65</v>
      </c>
      <c r="Z19" s="9"/>
      <c r="AA19" s="9">
        <f t="shared" si="12"/>
        <v>65</v>
      </c>
      <c r="AB19" s="9"/>
      <c r="AC19" s="9"/>
      <c r="AD19" s="9"/>
      <c r="AE19" s="9">
        <f t="shared" si="13"/>
        <v>65</v>
      </c>
      <c r="AF19" s="9"/>
      <c r="AG19" s="2">
        <v>27</v>
      </c>
      <c r="AH19" s="9"/>
      <c r="AI19" s="9"/>
      <c r="AJ19" s="9">
        <f>AG19</f>
        <v>27</v>
      </c>
      <c r="AK19" s="9">
        <v>0</v>
      </c>
      <c r="AL19" s="9">
        <f t="shared" si="14"/>
        <v>100</v>
      </c>
      <c r="AM19" s="9" t="s">
        <v>460</v>
      </c>
      <c r="AN19" s="9" t="s">
        <v>473</v>
      </c>
      <c r="AO19" s="9"/>
      <c r="AP19" s="9"/>
      <c r="AQ19" s="9">
        <v>3.8</v>
      </c>
      <c r="AR19" s="9"/>
      <c r="AS19" s="2">
        <v>3.8</v>
      </c>
      <c r="AT19" s="9" t="s">
        <v>718</v>
      </c>
      <c r="AU19" s="9"/>
      <c r="AV19" s="9"/>
      <c r="AW19" s="9"/>
      <c r="AX19" s="9">
        <v>10</v>
      </c>
      <c r="AY19" s="9" t="s">
        <v>1075</v>
      </c>
      <c r="AZ19" s="9" t="s">
        <v>1076</v>
      </c>
      <c r="BA19" s="9"/>
      <c r="BB19" s="9"/>
      <c r="BC19" s="9"/>
      <c r="BD19" s="9"/>
      <c r="BE19" s="9"/>
      <c r="BF19" s="9"/>
      <c r="BG19" s="9"/>
    </row>
    <row r="20" spans="1:59">
      <c r="A20" s="2" t="s">
        <v>19</v>
      </c>
      <c r="B20" s="2" t="s">
        <v>19</v>
      </c>
      <c r="C20" s="2" t="s">
        <v>19</v>
      </c>
      <c r="E20" s="2" t="s">
        <v>276</v>
      </c>
      <c r="F20" s="2">
        <v>0</v>
      </c>
      <c r="G20" s="2">
        <f t="shared" si="10"/>
        <v>1.2479732663618066</v>
      </c>
      <c r="H20" s="2">
        <f t="shared" si="2"/>
        <v>2.8469553250198238</v>
      </c>
      <c r="J20" s="2">
        <f>LOG(Y20)</f>
        <v>1.919078092376074</v>
      </c>
      <c r="L20" s="2">
        <f t="shared" si="0"/>
        <v>0.51851393987788741</v>
      </c>
      <c r="N20" s="2">
        <v>0</v>
      </c>
      <c r="O20" s="12">
        <v>17.7</v>
      </c>
      <c r="P20" s="2">
        <v>11</v>
      </c>
      <c r="Q20" s="2" t="s">
        <v>316</v>
      </c>
      <c r="R20" s="9" t="s">
        <v>308</v>
      </c>
      <c r="S20" s="10">
        <v>703</v>
      </c>
      <c r="T20" s="10">
        <v>40</v>
      </c>
      <c r="U20" s="2" t="s">
        <v>316</v>
      </c>
      <c r="V20" s="2" t="s">
        <v>306</v>
      </c>
      <c r="W20" s="2" t="s">
        <v>321</v>
      </c>
      <c r="X20" s="2">
        <v>0</v>
      </c>
      <c r="Y20" s="2">
        <v>83</v>
      </c>
      <c r="AA20" s="9">
        <f t="shared" si="12"/>
        <v>83</v>
      </c>
      <c r="AD20" s="2">
        <v>17</v>
      </c>
      <c r="AE20" s="9">
        <f t="shared" si="13"/>
        <v>100</v>
      </c>
      <c r="AJ20" s="9">
        <f>AG20</f>
        <v>0</v>
      </c>
      <c r="AK20" s="2">
        <v>0</v>
      </c>
      <c r="AL20" s="9">
        <f t="shared" si="14"/>
        <v>100</v>
      </c>
      <c r="AM20" s="9" t="s">
        <v>460</v>
      </c>
      <c r="AN20" s="2" t="s">
        <v>470</v>
      </c>
      <c r="AQ20" s="2">
        <f>AVERAGE(3.3)</f>
        <v>3.3</v>
      </c>
      <c r="AR20" s="2" t="s">
        <v>717</v>
      </c>
      <c r="AS20" s="2">
        <v>3.3</v>
      </c>
      <c r="AT20" s="2" t="s">
        <v>470</v>
      </c>
    </row>
    <row r="21" spans="1:59">
      <c r="A21" s="2" t="s">
        <v>20</v>
      </c>
      <c r="B21" s="2" t="s">
        <v>20</v>
      </c>
      <c r="C21" s="2" t="s">
        <v>20</v>
      </c>
      <c r="E21" s="2" t="s">
        <v>277</v>
      </c>
      <c r="F21" s="2">
        <v>0</v>
      </c>
      <c r="G21" s="2">
        <f t="shared" si="10"/>
        <v>0.76947795216041137</v>
      </c>
      <c r="H21" s="2">
        <f t="shared" si="2"/>
        <v>2.3222192947339191</v>
      </c>
      <c r="I21" s="2">
        <f>LOG(X21)</f>
        <v>1.9395192526186185</v>
      </c>
      <c r="J21" s="2">
        <f>LOG(Y21)</f>
        <v>1.1139433523068367</v>
      </c>
      <c r="L21" s="2">
        <f t="shared" si="0"/>
        <v>0</v>
      </c>
      <c r="N21" s="2">
        <v>0</v>
      </c>
      <c r="O21" s="12">
        <v>5.8813625545610178</v>
      </c>
      <c r="P21" s="2">
        <v>6</v>
      </c>
      <c r="Q21" s="2" t="s">
        <v>316</v>
      </c>
      <c r="R21" s="9" t="s">
        <v>308</v>
      </c>
      <c r="S21" s="10">
        <v>210</v>
      </c>
      <c r="T21" s="10">
        <v>30</v>
      </c>
      <c r="U21" s="2" t="s">
        <v>316</v>
      </c>
      <c r="V21" s="2" t="s">
        <v>307</v>
      </c>
      <c r="W21" s="2" t="s">
        <v>322</v>
      </c>
      <c r="X21" s="2">
        <v>87</v>
      </c>
      <c r="Y21" s="2">
        <v>13</v>
      </c>
      <c r="AA21" s="9">
        <f t="shared" si="12"/>
        <v>13</v>
      </c>
      <c r="AB21" s="2">
        <v>0</v>
      </c>
      <c r="AC21" s="2">
        <v>0</v>
      </c>
      <c r="AD21" s="2">
        <f>AB21+AC21</f>
        <v>0</v>
      </c>
      <c r="AE21" s="9">
        <f t="shared" si="13"/>
        <v>13</v>
      </c>
      <c r="AF21" s="2">
        <v>0</v>
      </c>
      <c r="AG21" s="9">
        <v>0</v>
      </c>
      <c r="AH21" s="2">
        <v>0</v>
      </c>
      <c r="AI21" s="2">
        <v>0</v>
      </c>
      <c r="AJ21" s="9">
        <f>AG21</f>
        <v>0</v>
      </c>
      <c r="AK21" s="2">
        <v>0</v>
      </c>
      <c r="AL21" s="9">
        <f t="shared" si="14"/>
        <v>100</v>
      </c>
      <c r="AM21" s="9" t="s">
        <v>460</v>
      </c>
      <c r="AN21" s="2" t="s">
        <v>474</v>
      </c>
      <c r="AO21" s="2">
        <v>1</v>
      </c>
      <c r="AP21" s="2" t="s">
        <v>719</v>
      </c>
      <c r="AQ21" s="2">
        <v>1.03</v>
      </c>
      <c r="AS21" s="2">
        <v>1</v>
      </c>
      <c r="AT21" s="2" t="s">
        <v>720</v>
      </c>
    </row>
    <row r="22" spans="1:59">
      <c r="A22" s="2" t="s">
        <v>21</v>
      </c>
      <c r="B22" s="2" t="s">
        <v>21</v>
      </c>
      <c r="C22" s="2" t="s">
        <v>21</v>
      </c>
      <c r="E22" s="2" t="s">
        <v>277</v>
      </c>
      <c r="F22" s="2">
        <v>0</v>
      </c>
      <c r="G22" s="2">
        <f t="shared" si="10"/>
        <v>0.84419039577596733</v>
      </c>
      <c r="H22" s="2">
        <f t="shared" si="2"/>
        <v>2.4899584794248346</v>
      </c>
      <c r="I22" s="2">
        <f>LOG(X22)</f>
        <v>1.9294189257142926</v>
      </c>
      <c r="J22" s="2">
        <f>LOG(Y22)</f>
        <v>1.146128035678238</v>
      </c>
      <c r="L22" s="2">
        <f t="shared" si="0"/>
        <v>0</v>
      </c>
      <c r="N22" s="2">
        <v>0</v>
      </c>
      <c r="O22" s="12">
        <v>6.9853857800040018</v>
      </c>
      <c r="P22" s="2">
        <v>24</v>
      </c>
      <c r="Q22" s="2" t="s">
        <v>316</v>
      </c>
      <c r="R22" s="9" t="s">
        <v>308</v>
      </c>
      <c r="S22" s="13">
        <v>309</v>
      </c>
      <c r="T22" s="8">
        <v>12</v>
      </c>
      <c r="U22" s="9" t="s">
        <v>316</v>
      </c>
      <c r="V22" s="2" t="s">
        <v>306</v>
      </c>
      <c r="W22" s="2"/>
      <c r="X22" s="9">
        <v>85</v>
      </c>
      <c r="Y22" s="9">
        <v>14</v>
      </c>
      <c r="Z22" s="9"/>
      <c r="AA22" s="9">
        <f t="shared" si="12"/>
        <v>14</v>
      </c>
      <c r="AB22" s="9"/>
      <c r="AC22" s="9"/>
      <c r="AD22" s="9"/>
      <c r="AE22" s="9">
        <f t="shared" si="13"/>
        <v>14</v>
      </c>
      <c r="AF22" s="9">
        <v>0</v>
      </c>
      <c r="AG22" s="9"/>
      <c r="AH22" s="9"/>
      <c r="AI22" s="9"/>
      <c r="AJ22" s="9"/>
      <c r="AK22" s="9">
        <v>1</v>
      </c>
      <c r="AL22" s="9">
        <f t="shared" si="14"/>
        <v>100</v>
      </c>
      <c r="AM22" s="9" t="s">
        <v>460</v>
      </c>
      <c r="AN22" s="2" t="s">
        <v>474</v>
      </c>
      <c r="AO22" s="9">
        <v>1</v>
      </c>
      <c r="AP22" s="2" t="s">
        <v>719</v>
      </c>
      <c r="AQ22" s="9">
        <v>1</v>
      </c>
      <c r="AR22" s="9"/>
      <c r="AS22" s="2">
        <v>1</v>
      </c>
      <c r="AT22" s="2" t="s">
        <v>720</v>
      </c>
      <c r="AV22" s="9"/>
      <c r="AW22" s="9"/>
      <c r="AX22" s="9"/>
      <c r="AY22" s="9"/>
      <c r="AZ22" s="9"/>
      <c r="BA22" s="9"/>
      <c r="BB22" s="9"/>
      <c r="BC22" s="9"/>
      <c r="BD22" s="9"/>
      <c r="BE22" s="9"/>
      <c r="BG22" s="9"/>
    </row>
    <row r="23" spans="1:59">
      <c r="A23" s="2" t="s">
        <v>22</v>
      </c>
      <c r="B23" s="2" t="s">
        <v>22</v>
      </c>
      <c r="C23" s="2" t="s">
        <v>22</v>
      </c>
      <c r="D23" s="2" t="s">
        <v>278</v>
      </c>
      <c r="E23" s="2" t="s">
        <v>275</v>
      </c>
      <c r="F23" s="2">
        <v>0</v>
      </c>
      <c r="G23" s="2">
        <f t="shared" si="10"/>
        <v>2.0523776215937035</v>
      </c>
      <c r="H23" s="2">
        <f t="shared" si="2"/>
        <v>3.9286225977871907</v>
      </c>
      <c r="I23" s="2">
        <f>LOG(X23)</f>
        <v>-0.31875876262441277</v>
      </c>
      <c r="J23" s="2">
        <f>LOG(Y23)</f>
        <v>1.9175055095525466</v>
      </c>
      <c r="K23" s="2">
        <f>LOG(AG23)</f>
        <v>0.95424250943932487</v>
      </c>
      <c r="L23" s="2">
        <f t="shared" si="0"/>
        <v>1.3448832793698631</v>
      </c>
      <c r="M23" s="2">
        <f>LOG(AX23)</f>
        <v>2.4771212547196626</v>
      </c>
      <c r="N23" s="2">
        <v>1</v>
      </c>
      <c r="O23" s="12">
        <v>112.81779871874771</v>
      </c>
      <c r="P23" s="2">
        <v>21</v>
      </c>
      <c r="Q23" s="9" t="s">
        <v>305</v>
      </c>
      <c r="R23" s="9" t="s">
        <v>308</v>
      </c>
      <c r="S23" s="8">
        <v>8484.4285714285706</v>
      </c>
      <c r="T23" s="10">
        <v>7</v>
      </c>
      <c r="U23" s="9" t="s">
        <v>305</v>
      </c>
      <c r="V23" s="9" t="s">
        <v>312</v>
      </c>
      <c r="W23" s="9" t="s">
        <v>311</v>
      </c>
      <c r="X23" s="2">
        <f>AVERAGE(0,1.4,0,1,0)</f>
        <v>0.48</v>
      </c>
      <c r="Y23" s="2">
        <f>AVERAGE(83,73,91.7,87,78.8)</f>
        <v>82.7</v>
      </c>
      <c r="AA23" s="9">
        <f t="shared" si="12"/>
        <v>82.7</v>
      </c>
      <c r="AC23" s="2">
        <f>AVERAGE(1,12,0,1,3.2)</f>
        <v>3.44</v>
      </c>
      <c r="AD23" s="2">
        <f>AB23+AC23</f>
        <v>3.44</v>
      </c>
      <c r="AE23" s="9">
        <f t="shared" si="13"/>
        <v>86.14</v>
      </c>
      <c r="AG23" s="9">
        <v>9</v>
      </c>
      <c r="AH23" s="2">
        <f>AVERAGE(7,13,8.3,9,7.7)</f>
        <v>9</v>
      </c>
      <c r="AI23" s="2">
        <v>0</v>
      </c>
      <c r="AJ23" s="9">
        <f>AG23</f>
        <v>9</v>
      </c>
      <c r="AK23" s="2">
        <f>AVERAGE(10,1.2,0,3,10.3)-0.5</f>
        <v>4.4000000000000004</v>
      </c>
      <c r="AL23" s="9">
        <f t="shared" si="14"/>
        <v>100.02000000000001</v>
      </c>
      <c r="AM23" s="9" t="s">
        <v>458</v>
      </c>
      <c r="AN23" s="2" t="s">
        <v>469</v>
      </c>
      <c r="AQ23" s="2">
        <f>AVERAGE(23.5,16,21,28)</f>
        <v>22.125</v>
      </c>
      <c r="AR23" s="9" t="s">
        <v>721</v>
      </c>
      <c r="AS23" s="2">
        <v>22.125</v>
      </c>
      <c r="AT23" s="2" t="s">
        <v>324</v>
      </c>
      <c r="AV23" s="2">
        <v>120</v>
      </c>
      <c r="AW23" s="2">
        <v>88</v>
      </c>
      <c r="AX23" s="2">
        <v>300</v>
      </c>
      <c r="AY23" s="2" t="s">
        <v>1077</v>
      </c>
      <c r="AZ23" s="2" t="s">
        <v>324</v>
      </c>
    </row>
    <row r="24" spans="1:59">
      <c r="A24" s="2" t="s">
        <v>23</v>
      </c>
      <c r="B24" s="2" t="s">
        <v>23</v>
      </c>
      <c r="C24" s="2" t="s">
        <v>23</v>
      </c>
      <c r="D24" s="2" t="s">
        <v>278</v>
      </c>
      <c r="E24" s="2" t="s">
        <v>275</v>
      </c>
      <c r="F24" s="2">
        <v>0</v>
      </c>
      <c r="G24" s="2">
        <f t="shared" si="10"/>
        <v>2.0424880059958279</v>
      </c>
      <c r="J24" s="2">
        <f>LOG(Y24)</f>
        <v>1.893206753059848</v>
      </c>
      <c r="K24" s="2">
        <f>LOG(AG24)</f>
        <v>1.0899051114393978</v>
      </c>
      <c r="L24" s="2">
        <f t="shared" si="0"/>
        <v>1.5854607295085006</v>
      </c>
      <c r="N24" s="2">
        <v>1</v>
      </c>
      <c r="O24" s="12">
        <v>110.27777777777777</v>
      </c>
      <c r="P24" s="2">
        <v>18</v>
      </c>
      <c r="Q24" s="9" t="s">
        <v>305</v>
      </c>
      <c r="R24" s="9" t="s">
        <v>308</v>
      </c>
      <c r="S24" s="10"/>
      <c r="T24" s="10"/>
      <c r="U24" s="9"/>
      <c r="V24" s="9"/>
      <c r="W24" s="9"/>
      <c r="X24" s="2">
        <v>0</v>
      </c>
      <c r="Y24" s="2">
        <f>AVERAGE(74.4,74.4,85.8)</f>
        <v>78.2</v>
      </c>
      <c r="AA24" s="9">
        <f t="shared" si="12"/>
        <v>78.2</v>
      </c>
      <c r="AC24" s="2">
        <f>AVERAGE(4.5,4.5,2.9)</f>
        <v>3.9666666666666668</v>
      </c>
      <c r="AD24" s="2">
        <f>AB24+AC24</f>
        <v>3.9666666666666668</v>
      </c>
      <c r="AE24" s="9">
        <f t="shared" si="13"/>
        <v>82.166666666666671</v>
      </c>
      <c r="AG24" s="2">
        <v>12.299999999999999</v>
      </c>
      <c r="AJ24" s="9">
        <f>AG24</f>
        <v>12.299999999999999</v>
      </c>
      <c r="AK24" s="2">
        <v>5.5</v>
      </c>
      <c r="AL24" s="9">
        <f t="shared" si="14"/>
        <v>99.966666666666669</v>
      </c>
      <c r="AM24" s="9" t="s">
        <v>458</v>
      </c>
      <c r="AN24" s="2" t="s">
        <v>475</v>
      </c>
      <c r="AQ24" s="2">
        <v>38.5</v>
      </c>
      <c r="AR24" s="9"/>
      <c r="AS24" s="2">
        <v>38.5</v>
      </c>
      <c r="AT24" s="2" t="s">
        <v>722</v>
      </c>
      <c r="AU24" s="2">
        <v>1977</v>
      </c>
      <c r="AY24" s="2" t="s">
        <v>1078</v>
      </c>
      <c r="AZ24" s="2" t="s">
        <v>722</v>
      </c>
    </row>
    <row r="25" spans="1:59">
      <c r="A25" s="2" t="s">
        <v>24</v>
      </c>
      <c r="B25" s="2" t="s">
        <v>24</v>
      </c>
      <c r="C25" s="2" t="s">
        <v>24</v>
      </c>
      <c r="D25" s="2" t="s">
        <v>278</v>
      </c>
      <c r="E25" s="2" t="s">
        <v>275</v>
      </c>
      <c r="F25" s="2">
        <v>0</v>
      </c>
      <c r="G25" s="2">
        <f t="shared" si="10"/>
        <v>2.0316081831524735</v>
      </c>
      <c r="H25" s="2">
        <f t="shared" si="2"/>
        <v>3.9618954736678504</v>
      </c>
      <c r="L25" s="2">
        <f t="shared" si="0"/>
        <v>0.65321251377534373</v>
      </c>
      <c r="N25" s="2">
        <v>1</v>
      </c>
      <c r="O25" s="12">
        <v>107.54944736842106</v>
      </c>
      <c r="P25" s="2">
        <v>19</v>
      </c>
      <c r="Q25" s="9" t="s">
        <v>305</v>
      </c>
      <c r="R25" s="9" t="s">
        <v>308</v>
      </c>
      <c r="S25" s="13">
        <v>9160</v>
      </c>
      <c r="T25" s="8">
        <v>11</v>
      </c>
      <c r="U25" s="9" t="s">
        <v>305</v>
      </c>
      <c r="V25" s="2" t="s">
        <v>306</v>
      </c>
      <c r="W25" s="2" t="s">
        <v>323</v>
      </c>
      <c r="X25" s="9"/>
      <c r="AH25" s="9"/>
      <c r="AI25" s="9"/>
      <c r="AJ25" s="9"/>
      <c r="AM25" s="2" t="s">
        <v>460</v>
      </c>
      <c r="AN25" s="2" t="s">
        <v>476</v>
      </c>
      <c r="AO25" s="9"/>
      <c r="AP25" s="9"/>
      <c r="AQ25" s="9">
        <f>AVERAGE(4,5)</f>
        <v>4.5</v>
      </c>
      <c r="AR25" s="9" t="s">
        <v>723</v>
      </c>
      <c r="AS25" s="2">
        <v>4.5</v>
      </c>
      <c r="AT25" s="9" t="s">
        <v>724</v>
      </c>
      <c r="AU25" s="9">
        <v>1150</v>
      </c>
      <c r="AV25" s="9"/>
      <c r="AW25" s="9"/>
      <c r="AX25" s="9"/>
      <c r="AY25" s="9"/>
      <c r="AZ25" s="9" t="s">
        <v>1079</v>
      </c>
      <c r="BA25" s="9"/>
      <c r="BB25" s="9"/>
      <c r="BC25" s="9"/>
      <c r="BD25" s="9"/>
      <c r="BE25" s="9"/>
      <c r="BF25" s="9"/>
      <c r="BG25" s="9"/>
    </row>
    <row r="26" spans="1:59">
      <c r="A26" s="2" t="s">
        <v>25</v>
      </c>
      <c r="B26" s="2" t="s">
        <v>25</v>
      </c>
      <c r="C26" s="2" t="s">
        <v>25</v>
      </c>
      <c r="D26" s="2" t="s">
        <v>278</v>
      </c>
      <c r="E26" s="2" t="s">
        <v>275</v>
      </c>
      <c r="F26" s="2">
        <v>0</v>
      </c>
      <c r="G26" s="2">
        <f t="shared" si="10"/>
        <v>2.0147677130783328</v>
      </c>
      <c r="H26" s="2">
        <f t="shared" si="2"/>
        <v>3.8864907251724818</v>
      </c>
      <c r="I26" s="2">
        <f>LOG(X26)</f>
        <v>0.1856365769619116</v>
      </c>
      <c r="J26" s="2">
        <f>LOG(Y26)</f>
        <v>1.8419848045901139</v>
      </c>
      <c r="K26" s="2">
        <f>LOG(AG26)</f>
        <v>1.1741567592784816</v>
      </c>
      <c r="L26" s="2">
        <f t="shared" si="0"/>
        <v>1.4913616938342726</v>
      </c>
      <c r="M26" s="2">
        <f>LOG(AX26)</f>
        <v>2.2253092817258628</v>
      </c>
      <c r="N26" s="2">
        <v>1</v>
      </c>
      <c r="O26" s="12">
        <v>103.4588658160869</v>
      </c>
      <c r="P26" s="2">
        <v>32</v>
      </c>
      <c r="Q26" s="9" t="s">
        <v>305</v>
      </c>
      <c r="R26" s="9" t="s">
        <v>308</v>
      </c>
      <c r="S26" s="13">
        <v>7700</v>
      </c>
      <c r="T26" s="8">
        <v>101</v>
      </c>
      <c r="U26" s="9" t="s">
        <v>305</v>
      </c>
      <c r="V26" s="2" t="s">
        <v>324</v>
      </c>
      <c r="W26" s="2"/>
      <c r="X26" s="2">
        <f>AVERAGE(1.9,2.1,0.6)</f>
        <v>1.5333333333333332</v>
      </c>
      <c r="Y26" s="2">
        <f>AVERAGE(54.9,71.4,82.2)</f>
        <v>69.5</v>
      </c>
      <c r="Z26" s="9"/>
      <c r="AA26" s="9">
        <f>Y26+Z26</f>
        <v>69.5</v>
      </c>
      <c r="AB26" s="9"/>
      <c r="AC26" s="2">
        <f>AVERAGE(6.3,14,1)</f>
        <v>7.1000000000000005</v>
      </c>
      <c r="AD26" s="2">
        <f>AB26+AC26</f>
        <v>7.1000000000000005</v>
      </c>
      <c r="AE26" s="9">
        <f>AA26+AD26</f>
        <v>76.599999999999994</v>
      </c>
      <c r="AF26" s="9"/>
      <c r="AG26" s="2">
        <v>14.933333333333332</v>
      </c>
      <c r="AH26" s="9">
        <v>12</v>
      </c>
      <c r="AI26" s="9">
        <v>2.9329999999999998</v>
      </c>
      <c r="AJ26" s="9">
        <f>AG26</f>
        <v>14.933333333333332</v>
      </c>
      <c r="AK26" s="2">
        <f>AVERAGE(21.8,0,0)-0.3</f>
        <v>6.9666666666666668</v>
      </c>
      <c r="AL26" s="9">
        <f>SUM(X26+AA26+AD26+AF26+AG26+AK26)</f>
        <v>100.03333333333333</v>
      </c>
      <c r="AM26" s="9" t="s">
        <v>458</v>
      </c>
      <c r="AN26" s="2" t="s">
        <v>477</v>
      </c>
      <c r="AO26" s="9"/>
      <c r="AP26" s="9"/>
      <c r="AQ26" s="9">
        <f>AVERAGE(42,22.5,28.5)</f>
        <v>31</v>
      </c>
      <c r="AR26" s="9" t="s">
        <v>725</v>
      </c>
      <c r="AS26" s="2">
        <v>31</v>
      </c>
      <c r="AT26" s="2" t="s">
        <v>324</v>
      </c>
      <c r="AU26" s="2">
        <f>AVERAGE(2054.69,1297,3327,2573,2226,1900)</f>
        <v>2229.6150000000002</v>
      </c>
      <c r="AV26" s="9">
        <v>93</v>
      </c>
      <c r="AW26" s="9">
        <v>50</v>
      </c>
      <c r="AX26" s="9">
        <v>168</v>
      </c>
      <c r="AY26" s="9"/>
      <c r="AZ26" s="2" t="s">
        <v>1080</v>
      </c>
      <c r="BA26" s="9"/>
      <c r="BB26" s="9"/>
      <c r="BC26" s="9"/>
      <c r="BD26" s="9"/>
      <c r="BE26" s="9"/>
      <c r="BG26" s="9"/>
    </row>
    <row r="27" spans="1:59">
      <c r="A27" s="2" t="s">
        <v>26</v>
      </c>
      <c r="B27" s="2" t="s">
        <v>26</v>
      </c>
      <c r="C27" s="2" t="s">
        <v>26</v>
      </c>
      <c r="D27" s="2" t="s">
        <v>278</v>
      </c>
      <c r="E27" s="2" t="s">
        <v>275</v>
      </c>
      <c r="F27" s="2">
        <v>0</v>
      </c>
      <c r="G27" s="2">
        <f t="shared" si="10"/>
        <v>2.0111230501943873</v>
      </c>
      <c r="H27" s="2">
        <f t="shared" si="2"/>
        <v>3.8785217955012063</v>
      </c>
      <c r="J27" s="2">
        <f>LOG(Y27)</f>
        <v>1.9731278535996986</v>
      </c>
      <c r="K27" s="2">
        <f>LOG(AG27)</f>
        <v>0.69897000433601886</v>
      </c>
      <c r="L27" s="2">
        <f t="shared" si="0"/>
        <v>0.41664050733828095</v>
      </c>
      <c r="N27" s="2">
        <v>1</v>
      </c>
      <c r="O27" s="12">
        <v>102.59425690183285</v>
      </c>
      <c r="P27" s="2">
        <v>8</v>
      </c>
      <c r="Q27" s="9" t="s">
        <v>305</v>
      </c>
      <c r="R27" s="9" t="s">
        <v>308</v>
      </c>
      <c r="S27" s="8">
        <v>7560</v>
      </c>
      <c r="T27" s="10">
        <v>3</v>
      </c>
      <c r="U27" s="9" t="s">
        <v>305</v>
      </c>
      <c r="V27" s="9" t="s">
        <v>312</v>
      </c>
      <c r="W27" s="9" t="s">
        <v>311</v>
      </c>
      <c r="X27" s="2">
        <v>0</v>
      </c>
      <c r="Y27" s="2">
        <v>94</v>
      </c>
      <c r="AA27" s="9">
        <f>Y27+Z27</f>
        <v>94</v>
      </c>
      <c r="AC27" s="2">
        <v>1</v>
      </c>
      <c r="AD27" s="2">
        <v>1</v>
      </c>
      <c r="AE27" s="9">
        <f>AA27+AD27</f>
        <v>95</v>
      </c>
      <c r="AG27" s="9">
        <v>5</v>
      </c>
      <c r="AH27" s="2">
        <v>5</v>
      </c>
      <c r="AI27" s="2">
        <v>0</v>
      </c>
      <c r="AJ27" s="9">
        <f>AG27</f>
        <v>5</v>
      </c>
      <c r="AK27" s="2">
        <v>0</v>
      </c>
      <c r="AL27" s="9">
        <f>SUM(X27+AA27+AD27+AF27+AG27+AK27)</f>
        <v>100</v>
      </c>
      <c r="AN27" s="2" t="s">
        <v>478</v>
      </c>
      <c r="AQ27" s="2">
        <v>2.61</v>
      </c>
      <c r="AR27" s="2" t="s">
        <v>727</v>
      </c>
      <c r="AS27" s="2">
        <v>2.61</v>
      </c>
      <c r="AT27" s="2" t="s">
        <v>728</v>
      </c>
    </row>
    <row r="28" spans="1:59">
      <c r="A28" s="2" t="s">
        <v>27</v>
      </c>
      <c r="B28" s="2" t="s">
        <v>27</v>
      </c>
      <c r="C28" s="2" t="s">
        <v>27</v>
      </c>
      <c r="D28" s="2" t="s">
        <v>278</v>
      </c>
      <c r="E28" s="2" t="s">
        <v>275</v>
      </c>
      <c r="F28" s="2">
        <v>0</v>
      </c>
      <c r="G28" s="2">
        <f t="shared" si="10"/>
        <v>2.0316777106842427</v>
      </c>
      <c r="H28" s="2">
        <f t="shared" si="2"/>
        <v>3.9068735347220702</v>
      </c>
      <c r="I28" s="2">
        <f>LOG(X28)</f>
        <v>-0.69897000433601875</v>
      </c>
      <c r="J28" s="2">
        <f>LOG(Y28)</f>
        <v>1.9020028913507294</v>
      </c>
      <c r="K28" s="2">
        <f>LOG(AG28)</f>
        <v>0.89762709129044149</v>
      </c>
      <c r="L28" s="2">
        <f t="shared" si="0"/>
        <v>1.255272505103306</v>
      </c>
      <c r="M28" s="2">
        <f t="shared" ref="M28:M34" si="15">LOG(AX28)</f>
        <v>2.406540180433955</v>
      </c>
      <c r="N28" s="2">
        <v>1</v>
      </c>
      <c r="O28" s="12">
        <v>107.56666666666666</v>
      </c>
      <c r="P28" s="2">
        <v>12</v>
      </c>
      <c r="Q28" s="9" t="s">
        <v>305</v>
      </c>
      <c r="R28" s="9" t="s">
        <v>308</v>
      </c>
      <c r="S28" s="13">
        <v>8070</v>
      </c>
      <c r="T28" s="8">
        <v>49</v>
      </c>
      <c r="U28" s="9" t="s">
        <v>305</v>
      </c>
      <c r="V28" s="2" t="s">
        <v>306</v>
      </c>
      <c r="W28" s="9" t="s">
        <v>311</v>
      </c>
      <c r="X28" s="2">
        <v>0.2</v>
      </c>
      <c r="Y28" s="2">
        <v>79.8</v>
      </c>
      <c r="Z28" s="9"/>
      <c r="AA28" s="9">
        <f>Y28+Z28</f>
        <v>79.8</v>
      </c>
      <c r="AB28" s="9"/>
      <c r="AC28" s="2">
        <v>6.4</v>
      </c>
      <c r="AD28" s="2">
        <f>AB28+AC28</f>
        <v>6.4</v>
      </c>
      <c r="AE28" s="9">
        <f>AA28+AD28</f>
        <v>86.2</v>
      </c>
      <c r="AF28" s="9"/>
      <c r="AG28" s="9">
        <v>7.9</v>
      </c>
      <c r="AH28" s="9">
        <v>7.9</v>
      </c>
      <c r="AI28" s="9">
        <v>0</v>
      </c>
      <c r="AJ28" s="9">
        <f>AG28</f>
        <v>7.9</v>
      </c>
      <c r="AK28" s="2">
        <v>5.7</v>
      </c>
      <c r="AL28" s="9">
        <f>SUM(X28+AA28+AD28+AF28+AG28+AK28)</f>
        <v>100.00000000000001</v>
      </c>
      <c r="AM28" s="9" t="s">
        <v>460</v>
      </c>
      <c r="AN28" s="2" t="s">
        <v>469</v>
      </c>
      <c r="AO28" s="9"/>
      <c r="AP28" s="9"/>
      <c r="AQ28" s="9">
        <v>18</v>
      </c>
      <c r="AR28" s="9" t="s">
        <v>729</v>
      </c>
      <c r="AS28" s="9">
        <v>18</v>
      </c>
      <c r="AT28" s="2" t="s">
        <v>324</v>
      </c>
      <c r="AV28" s="9"/>
      <c r="AW28" s="9"/>
      <c r="AX28" s="9">
        <v>255</v>
      </c>
      <c r="AY28" s="9"/>
      <c r="AZ28" s="2" t="s">
        <v>324</v>
      </c>
      <c r="BA28" s="9"/>
      <c r="BB28" s="9"/>
      <c r="BC28" s="9"/>
      <c r="BD28" s="9"/>
      <c r="BE28" s="9"/>
      <c r="BG28" s="9"/>
    </row>
    <row r="29" spans="1:59">
      <c r="A29" s="2" t="s">
        <v>28</v>
      </c>
      <c r="B29" s="2" t="s">
        <v>28</v>
      </c>
      <c r="C29" s="2" t="s">
        <v>28</v>
      </c>
      <c r="E29" s="2" t="s">
        <v>279</v>
      </c>
      <c r="F29" s="2">
        <v>0</v>
      </c>
      <c r="L29" s="2">
        <f t="shared" si="0"/>
        <v>0.46982201597816303</v>
      </c>
      <c r="M29" s="2">
        <f t="shared" si="15"/>
        <v>-0.53760200210104392</v>
      </c>
      <c r="N29" s="2">
        <v>0</v>
      </c>
      <c r="O29" s="9"/>
      <c r="P29" s="14"/>
      <c r="Q29" s="9"/>
      <c r="R29" s="9"/>
      <c r="S29" s="13"/>
      <c r="T29" s="8"/>
      <c r="U29" s="9"/>
      <c r="V29" s="2"/>
      <c r="W29" s="2"/>
      <c r="Z29" s="9"/>
      <c r="AB29" s="9"/>
      <c r="AE29" s="9"/>
      <c r="AF29" s="9"/>
      <c r="AH29" s="9"/>
      <c r="AI29" s="9"/>
      <c r="AJ29" s="9"/>
      <c r="AL29" s="9"/>
      <c r="AM29" s="9"/>
      <c r="AO29" s="9"/>
      <c r="AP29" s="9"/>
      <c r="AQ29" s="9">
        <f>AVERAGE(3.8,2.1)</f>
        <v>2.95</v>
      </c>
      <c r="AR29" s="9"/>
      <c r="AS29" s="2">
        <v>2.95</v>
      </c>
      <c r="AT29" s="2" t="s">
        <v>730</v>
      </c>
      <c r="AU29" s="2">
        <v>326</v>
      </c>
      <c r="AV29" s="9"/>
      <c r="AW29" s="9"/>
      <c r="AX29" s="9">
        <v>0.28999999999999998</v>
      </c>
      <c r="AY29" s="9" t="s">
        <v>1081</v>
      </c>
      <c r="AZ29" s="2" t="s">
        <v>1082</v>
      </c>
      <c r="BA29" s="9"/>
      <c r="BB29" s="9"/>
      <c r="BC29" s="9"/>
      <c r="BD29" s="9"/>
      <c r="BE29" s="9"/>
      <c r="BG29" s="9"/>
    </row>
    <row r="30" spans="1:59">
      <c r="A30" s="2" t="s">
        <v>29</v>
      </c>
      <c r="B30" s="2" t="s">
        <v>29</v>
      </c>
      <c r="C30" s="2" t="s">
        <v>29</v>
      </c>
      <c r="E30" s="2" t="s">
        <v>279</v>
      </c>
      <c r="F30" s="2">
        <v>0</v>
      </c>
      <c r="G30" s="2">
        <f>LOG(O30)</f>
        <v>0.97842868394157811</v>
      </c>
      <c r="H30" s="2">
        <f t="shared" si="2"/>
        <v>3.0817072700973491</v>
      </c>
      <c r="K30" s="2">
        <f>LOG(AG30)</f>
        <v>2</v>
      </c>
      <c r="L30" s="2">
        <f t="shared" si="0"/>
        <v>0.3979400086720376</v>
      </c>
      <c r="M30" s="2">
        <f t="shared" si="15"/>
        <v>0.17609125905568124</v>
      </c>
      <c r="N30" s="2">
        <v>0</v>
      </c>
      <c r="O30" s="12">
        <v>9.5154358108108124</v>
      </c>
      <c r="P30" s="2">
        <v>37</v>
      </c>
      <c r="Q30" s="2" t="s">
        <v>316</v>
      </c>
      <c r="R30" s="9" t="s">
        <v>308</v>
      </c>
      <c r="S30" s="13">
        <v>1207</v>
      </c>
      <c r="T30" s="8">
        <v>10</v>
      </c>
      <c r="U30" s="9" t="s">
        <v>316</v>
      </c>
      <c r="V30" s="2" t="s">
        <v>306</v>
      </c>
      <c r="W30" s="2"/>
      <c r="X30" s="2">
        <v>0</v>
      </c>
      <c r="Y30" s="2">
        <v>0</v>
      </c>
      <c r="AA30" s="2">
        <v>0</v>
      </c>
      <c r="AC30" s="2">
        <v>0</v>
      </c>
      <c r="AD30" s="2">
        <v>0</v>
      </c>
      <c r="AE30" s="9">
        <f>AA30+AD30</f>
        <v>0</v>
      </c>
      <c r="AG30" s="2">
        <v>100</v>
      </c>
      <c r="AJ30" s="9">
        <f>AG30</f>
        <v>100</v>
      </c>
      <c r="AK30" s="2">
        <v>0</v>
      </c>
      <c r="AL30" s="9">
        <f>SUM(X30+AA30+AD30+AF30+AG30+AK30)</f>
        <v>100</v>
      </c>
      <c r="AM30" s="9" t="s">
        <v>460</v>
      </c>
      <c r="AN30" s="2" t="s">
        <v>479</v>
      </c>
      <c r="AP30" s="2" t="s">
        <v>731</v>
      </c>
      <c r="AQ30" s="2">
        <v>2.5</v>
      </c>
      <c r="AR30" s="9" t="s">
        <v>732</v>
      </c>
      <c r="AS30" s="2">
        <v>2.5</v>
      </c>
      <c r="AT30" s="9" t="s">
        <v>733</v>
      </c>
      <c r="AU30" s="9">
        <v>300</v>
      </c>
      <c r="AX30" s="9">
        <v>1.5</v>
      </c>
      <c r="AY30" s="2" t="s">
        <v>1083</v>
      </c>
      <c r="AZ30" s="9" t="s">
        <v>1084</v>
      </c>
    </row>
    <row r="31" spans="1:59">
      <c r="A31" s="2" t="s">
        <v>30</v>
      </c>
      <c r="B31" s="2" t="s">
        <v>30</v>
      </c>
      <c r="C31" s="2" t="s">
        <v>30</v>
      </c>
      <c r="E31" s="2" t="s">
        <v>279</v>
      </c>
      <c r="F31" s="2">
        <v>0</v>
      </c>
      <c r="G31" s="2">
        <f>LOG(O31)</f>
        <v>0.90036712865647028</v>
      </c>
      <c r="K31" s="2">
        <f>LOG(AG31)</f>
        <v>1.8864907251724818</v>
      </c>
      <c r="L31" s="2">
        <f t="shared" si="0"/>
        <v>0.3010299956639812</v>
      </c>
      <c r="M31" s="2">
        <f t="shared" si="15"/>
        <v>-0.16430942850757446</v>
      </c>
      <c r="N31" s="2">
        <v>0</v>
      </c>
      <c r="O31" s="12">
        <v>7.95</v>
      </c>
      <c r="P31" s="2">
        <v>2</v>
      </c>
      <c r="Q31" s="2" t="s">
        <v>318</v>
      </c>
      <c r="R31" s="9" t="s">
        <v>308</v>
      </c>
      <c r="S31" s="13"/>
      <c r="T31" s="8"/>
      <c r="U31" s="9"/>
      <c r="V31" s="2"/>
      <c r="W31" s="2"/>
      <c r="X31" s="2">
        <v>0</v>
      </c>
      <c r="Y31" s="2">
        <v>0</v>
      </c>
      <c r="AA31" s="2">
        <v>0</v>
      </c>
      <c r="AC31" s="2">
        <v>2.6</v>
      </c>
      <c r="AD31" s="2">
        <f>AB31+AC31</f>
        <v>2.6</v>
      </c>
      <c r="AE31" s="9">
        <f>AA31+AD31</f>
        <v>2.6</v>
      </c>
      <c r="AG31" s="2">
        <v>77</v>
      </c>
      <c r="AJ31" s="9">
        <f>AG31</f>
        <v>77</v>
      </c>
      <c r="AK31" s="2">
        <v>20.399999999999999</v>
      </c>
      <c r="AL31" s="9">
        <f>SUM(X31+AA31+AD31+AF31+AG31+AK31)</f>
        <v>100</v>
      </c>
      <c r="AM31" s="9" t="s">
        <v>460</v>
      </c>
      <c r="AN31" s="2" t="s">
        <v>480</v>
      </c>
      <c r="AQ31" s="2">
        <v>2</v>
      </c>
      <c r="AR31" s="9" t="s">
        <v>717</v>
      </c>
      <c r="AS31" s="2">
        <v>2</v>
      </c>
      <c r="AT31" s="9" t="s">
        <v>1338</v>
      </c>
      <c r="AU31" s="9">
        <v>740</v>
      </c>
      <c r="AX31" s="9">
        <v>0.68499999999999994</v>
      </c>
      <c r="AY31" s="2" t="s">
        <v>734</v>
      </c>
      <c r="AZ31" s="9" t="s">
        <v>1085</v>
      </c>
    </row>
    <row r="32" spans="1:59">
      <c r="A32" s="2" t="s">
        <v>31</v>
      </c>
      <c r="B32" s="2" t="s">
        <v>31</v>
      </c>
      <c r="C32" s="2" t="s">
        <v>31</v>
      </c>
      <c r="E32" s="2" t="s">
        <v>279</v>
      </c>
      <c r="F32" s="2">
        <v>0</v>
      </c>
      <c r="K32" s="2">
        <f>LOG(AG32)</f>
        <v>2</v>
      </c>
      <c r="L32" s="2">
        <f t="shared" si="0"/>
        <v>0.24427712080184286</v>
      </c>
      <c r="M32" s="2">
        <f t="shared" si="15"/>
        <v>0.14612803567823801</v>
      </c>
      <c r="N32" s="2">
        <v>0</v>
      </c>
      <c r="Q32" s="2"/>
      <c r="R32" s="9"/>
      <c r="S32" s="13"/>
      <c r="T32" s="8"/>
      <c r="U32" s="9"/>
      <c r="V32" s="2"/>
      <c r="W32" s="2"/>
      <c r="AE32" s="9"/>
      <c r="AG32" s="9">
        <v>100</v>
      </c>
      <c r="AH32" s="2">
        <v>98</v>
      </c>
      <c r="AI32" s="2">
        <v>2</v>
      </c>
      <c r="AJ32" s="9">
        <f>AG32</f>
        <v>100</v>
      </c>
      <c r="AK32" s="2">
        <v>0</v>
      </c>
      <c r="AL32" s="9">
        <f>SUM(X32+AA32+AD32+AF32+AG32+AK32)</f>
        <v>100</v>
      </c>
      <c r="AM32" s="9" t="s">
        <v>460</v>
      </c>
      <c r="AN32" s="2" t="s">
        <v>481</v>
      </c>
      <c r="AQ32" s="2">
        <f>AVERAGE(1.67,1.84)</f>
        <v>1.7549999999999999</v>
      </c>
      <c r="AR32" s="9" t="s">
        <v>734</v>
      </c>
      <c r="AS32" s="2">
        <v>1.7549999999999999</v>
      </c>
      <c r="AT32" s="9" t="s">
        <v>735</v>
      </c>
      <c r="AU32" s="9">
        <v>457</v>
      </c>
      <c r="AX32" s="9">
        <v>1.4</v>
      </c>
      <c r="AZ32" s="9" t="s">
        <v>1086</v>
      </c>
    </row>
    <row r="33" spans="1:59">
      <c r="A33" s="2" t="s">
        <v>32</v>
      </c>
      <c r="B33" s="2" t="s">
        <v>32</v>
      </c>
      <c r="C33" s="2" t="s">
        <v>32</v>
      </c>
      <c r="D33" s="2" t="s">
        <v>278</v>
      </c>
      <c r="E33" s="2" t="s">
        <v>275</v>
      </c>
      <c r="F33" s="2">
        <v>0</v>
      </c>
      <c r="G33" s="2">
        <f>LOG(O33)</f>
        <v>2.0087826101102855</v>
      </c>
      <c r="H33" s="2">
        <f t="shared" si="2"/>
        <v>3.9068735347220702</v>
      </c>
      <c r="J33" s="2">
        <f>LOG(Y33)</f>
        <v>1.7179477417489277</v>
      </c>
      <c r="K33" s="2">
        <f>LOG(AG33)</f>
        <v>1.6211762817750353</v>
      </c>
      <c r="L33" s="2">
        <f t="shared" si="0"/>
        <v>1.3979400086720377</v>
      </c>
      <c r="M33" s="2">
        <f t="shared" si="15"/>
        <v>1.8450980400142569</v>
      </c>
      <c r="N33" s="2">
        <v>1</v>
      </c>
      <c r="O33" s="12">
        <v>102.04285714285713</v>
      </c>
      <c r="P33" s="2">
        <v>7</v>
      </c>
      <c r="Q33" s="2" t="s">
        <v>316</v>
      </c>
      <c r="R33" s="9" t="s">
        <v>308</v>
      </c>
      <c r="S33" s="10">
        <v>8070</v>
      </c>
      <c r="T33" s="8">
        <v>3</v>
      </c>
      <c r="U33" s="9" t="s">
        <v>305</v>
      </c>
      <c r="V33" s="2" t="s">
        <v>306</v>
      </c>
      <c r="W33" s="2" t="s">
        <v>325</v>
      </c>
      <c r="X33" s="2">
        <v>0</v>
      </c>
      <c r="Y33" s="2">
        <f>AVERAGE(20.8,59.1,73.2)+1.2</f>
        <v>52.233333333333341</v>
      </c>
      <c r="AA33" s="2">
        <f>Y33</f>
        <v>52.233333333333341</v>
      </c>
      <c r="AC33" s="2">
        <f>AVERAGE(12.2,4.1,1.7)</f>
        <v>5.9999999999999991</v>
      </c>
      <c r="AD33" s="2">
        <f>AB33+AC33</f>
        <v>5.9999999999999991</v>
      </c>
      <c r="AE33" s="9">
        <f>AA33+AD33</f>
        <v>58.233333333333341</v>
      </c>
      <c r="AG33" s="2">
        <v>41.800000000000004</v>
      </c>
      <c r="AH33" s="9">
        <f>41.8*(18.1/21.6)</f>
        <v>35.026851851851852</v>
      </c>
      <c r="AI33" s="2">
        <f>41.8*(3.5/21.6)</f>
        <v>6.7731481481481479</v>
      </c>
      <c r="AJ33" s="9">
        <f>AG33</f>
        <v>41.800000000000004</v>
      </c>
      <c r="AK33" s="2">
        <v>0</v>
      </c>
      <c r="AL33" s="9">
        <f>SUM(X33+AA33+AD33+AF33+AG33+AK33)</f>
        <v>100.03333333333335</v>
      </c>
      <c r="AM33" s="9" t="s">
        <v>482</v>
      </c>
      <c r="AN33" s="2" t="s">
        <v>483</v>
      </c>
      <c r="AQ33" s="2">
        <v>25</v>
      </c>
      <c r="AR33" s="2" t="s">
        <v>736</v>
      </c>
      <c r="AS33" s="2">
        <v>25</v>
      </c>
      <c r="AT33" s="2" t="s">
        <v>737</v>
      </c>
      <c r="AX33" s="2">
        <v>70</v>
      </c>
      <c r="AY33" s="2" t="s">
        <v>1087</v>
      </c>
      <c r="AZ33" s="2" t="s">
        <v>324</v>
      </c>
    </row>
    <row r="34" spans="1:59">
      <c r="A34" s="2" t="s">
        <v>33</v>
      </c>
      <c r="B34" s="2" t="s">
        <v>33</v>
      </c>
      <c r="C34" s="2" t="s">
        <v>33</v>
      </c>
      <c r="D34" s="2" t="s">
        <v>278</v>
      </c>
      <c r="E34" s="2" t="s">
        <v>275</v>
      </c>
      <c r="F34" s="2">
        <v>0</v>
      </c>
      <c r="H34" s="2">
        <f t="shared" si="2"/>
        <v>3.9242792860618816</v>
      </c>
      <c r="J34" s="2">
        <f>LOG(Y34)</f>
        <v>1.4440447959180762</v>
      </c>
      <c r="K34" s="2">
        <f>LOG(AG34)</f>
        <v>1.6486852034198645</v>
      </c>
      <c r="L34" s="2">
        <f t="shared" si="0"/>
        <v>1.6283889300503116</v>
      </c>
      <c r="M34" s="2">
        <f t="shared" si="15"/>
        <v>2.3774883833761327</v>
      </c>
      <c r="N34" s="2">
        <v>1</v>
      </c>
      <c r="Q34" s="2"/>
      <c r="R34" s="9"/>
      <c r="S34" s="10">
        <v>8400</v>
      </c>
      <c r="T34" s="8"/>
      <c r="U34" s="9" t="s">
        <v>326</v>
      </c>
      <c r="V34" s="2" t="s">
        <v>327</v>
      </c>
      <c r="W34" s="2" t="s">
        <v>328</v>
      </c>
      <c r="Y34" s="2">
        <f>AVERAGE(18.5,32.9,32)</f>
        <v>27.8</v>
      </c>
      <c r="Z34" s="2">
        <v>5</v>
      </c>
      <c r="AA34" s="2">
        <f>Y34+Z34</f>
        <v>32.799999999999997</v>
      </c>
      <c r="AC34" s="2">
        <f>AVERAGE(28.2,4.5,11)</f>
        <v>14.566666666666668</v>
      </c>
      <c r="AD34" s="2">
        <f>AB34+AC34</f>
        <v>14.566666666666668</v>
      </c>
      <c r="AE34" s="9">
        <f>AA34+AD34</f>
        <v>47.366666666666667</v>
      </c>
      <c r="AG34" s="9">
        <v>44.533333333333331</v>
      </c>
      <c r="AH34" s="9">
        <f>AVERAGE(25.5,14)</f>
        <v>19.75</v>
      </c>
      <c r="AI34" s="2">
        <f>AVERAGE(34.5,9)</f>
        <v>21.75</v>
      </c>
      <c r="AJ34" s="9">
        <f>AG34</f>
        <v>44.533333333333331</v>
      </c>
      <c r="AK34" s="2">
        <v>8.1</v>
      </c>
      <c r="AL34" s="9">
        <f>SUM(X34+AA34+AD34+AF34+AG34+AK34)</f>
        <v>100</v>
      </c>
      <c r="AM34" s="9" t="s">
        <v>482</v>
      </c>
      <c r="AN34" s="2" t="s">
        <v>484</v>
      </c>
      <c r="AQ34" s="2">
        <v>42.5</v>
      </c>
      <c r="AR34" s="9" t="s">
        <v>738</v>
      </c>
      <c r="AS34" s="2">
        <v>42.5</v>
      </c>
      <c r="AT34" s="2" t="s">
        <v>328</v>
      </c>
      <c r="AX34" s="2">
        <v>238.5</v>
      </c>
      <c r="AY34" s="2" t="s">
        <v>1088</v>
      </c>
      <c r="AZ34" s="2" t="s">
        <v>328</v>
      </c>
    </row>
    <row r="35" spans="1:59">
      <c r="A35" s="2" t="s">
        <v>34</v>
      </c>
      <c r="B35" s="2" t="s">
        <v>34</v>
      </c>
      <c r="C35" s="2" t="s">
        <v>34</v>
      </c>
      <c r="E35" s="2" t="s">
        <v>280</v>
      </c>
      <c r="F35" s="2">
        <v>0</v>
      </c>
      <c r="L35" s="2">
        <f t="shared" si="0"/>
        <v>1.4771212547196624</v>
      </c>
      <c r="N35" s="2">
        <v>1</v>
      </c>
      <c r="P35" s="9"/>
      <c r="R35" s="8"/>
      <c r="S35" s="9"/>
      <c r="AE35" s="9"/>
      <c r="AG35" s="9"/>
      <c r="AH35" s="9"/>
      <c r="AJ35" s="9"/>
      <c r="AL35" s="9"/>
      <c r="AM35" s="9"/>
      <c r="AQ35" s="2" t="s">
        <v>739</v>
      </c>
      <c r="AR35" s="9" t="s">
        <v>740</v>
      </c>
      <c r="AS35" s="2">
        <v>30</v>
      </c>
      <c r="AT35" s="2" t="s">
        <v>328</v>
      </c>
      <c r="BA35" s="16"/>
      <c r="BB35" s="16"/>
      <c r="BC35" s="16"/>
      <c r="BD35" s="16"/>
      <c r="BE35" s="16"/>
      <c r="BF35" s="16"/>
      <c r="BG35" s="16"/>
    </row>
    <row r="36" spans="1:59">
      <c r="A36" s="2" t="s">
        <v>35</v>
      </c>
      <c r="B36" s="2" t="s">
        <v>35</v>
      </c>
      <c r="C36" s="2" t="s">
        <v>35</v>
      </c>
      <c r="E36" s="2" t="s">
        <v>280</v>
      </c>
      <c r="F36" s="2">
        <v>0</v>
      </c>
      <c r="G36" s="2">
        <f t="shared" ref="G36:G48" si="16">LOG(O36)</f>
        <v>1.8496985413094986</v>
      </c>
      <c r="H36" s="2">
        <f t="shared" si="2"/>
        <v>3.459392487759231</v>
      </c>
      <c r="I36" s="2">
        <f t="shared" ref="I36:J38" si="17">LOG(X36)</f>
        <v>0.6020599913279624</v>
      </c>
      <c r="J36" s="2">
        <f t="shared" si="17"/>
        <v>1.5371892262436446</v>
      </c>
      <c r="K36" s="2">
        <f>LOG(AG36)</f>
        <v>0.39707054995940871</v>
      </c>
      <c r="L36" s="2">
        <f t="shared" si="0"/>
        <v>1.6222140229662954</v>
      </c>
      <c r="M36" s="2">
        <f>LOG(AX36)</f>
        <v>2.720159303405957</v>
      </c>
      <c r="N36" s="2">
        <v>1</v>
      </c>
      <c r="O36" s="12">
        <v>70.74545454545455</v>
      </c>
      <c r="P36" s="2">
        <v>11</v>
      </c>
      <c r="Q36" s="9" t="s">
        <v>305</v>
      </c>
      <c r="R36" s="9" t="s">
        <v>306</v>
      </c>
      <c r="S36" s="13">
        <v>2880</v>
      </c>
      <c r="T36" s="8">
        <v>2</v>
      </c>
      <c r="U36" s="9" t="s">
        <v>305</v>
      </c>
      <c r="V36" s="2" t="s">
        <v>306</v>
      </c>
      <c r="W36" s="2" t="s">
        <v>329</v>
      </c>
      <c r="X36" s="2">
        <f>AVERAGE(5.2,4,2.8)</f>
        <v>4</v>
      </c>
      <c r="Y36" s="2">
        <f>AVERAGE(18.4,50,39)-1.35</f>
        <v>34.450000000000003</v>
      </c>
      <c r="Z36" s="2">
        <f>AVERAGE(66.9,46,52)-1.35</f>
        <v>53.616666666666667</v>
      </c>
      <c r="AA36" s="2">
        <f>Y36+Z36</f>
        <v>88.066666666666663</v>
      </c>
      <c r="AC36" s="2">
        <f>AVERAGE(6,3.72)</f>
        <v>4.8600000000000003</v>
      </c>
      <c r="AD36" s="2">
        <f>AB36+AC36</f>
        <v>4.8600000000000003</v>
      </c>
      <c r="AE36" s="9">
        <f>AA36+AD36</f>
        <v>92.926666666666662</v>
      </c>
      <c r="AF36" s="2">
        <v>0.45</v>
      </c>
      <c r="AG36" s="2">
        <v>2.4950000000000001</v>
      </c>
      <c r="AJ36" s="9">
        <f>AG36</f>
        <v>2.4950000000000001</v>
      </c>
      <c r="AK36" s="2">
        <v>0.11</v>
      </c>
      <c r="AL36" s="9">
        <f>SUM(X36+AA36+AD36+AF36+AG36+AK36)</f>
        <v>99.981666666666669</v>
      </c>
      <c r="AM36" s="9" t="s">
        <v>482</v>
      </c>
      <c r="AN36" s="2" t="s">
        <v>485</v>
      </c>
      <c r="AQ36" s="2">
        <v>41.9</v>
      </c>
      <c r="AR36" s="2" t="s">
        <v>741</v>
      </c>
      <c r="AS36" s="2">
        <v>41.9</v>
      </c>
      <c r="AT36" s="2" t="s">
        <v>742</v>
      </c>
      <c r="AU36" s="2">
        <f>AVERAGE(730,200)</f>
        <v>465</v>
      </c>
      <c r="AX36" s="2">
        <v>525</v>
      </c>
      <c r="AY36" s="2" t="s">
        <v>1089</v>
      </c>
      <c r="AZ36" s="2" t="s">
        <v>413</v>
      </c>
      <c r="BA36" s="16"/>
      <c r="BB36" s="16"/>
      <c r="BC36" s="16"/>
      <c r="BD36" s="16"/>
      <c r="BE36" s="16"/>
      <c r="BF36" s="16"/>
      <c r="BG36" s="16"/>
    </row>
    <row r="37" spans="1:59">
      <c r="A37" s="2" t="s">
        <v>36</v>
      </c>
      <c r="B37" s="2" t="s">
        <v>36</v>
      </c>
      <c r="C37" s="2" t="s">
        <v>36</v>
      </c>
      <c r="E37" s="2" t="s">
        <v>280</v>
      </c>
      <c r="F37" s="2">
        <v>0</v>
      </c>
      <c r="G37" s="2">
        <f t="shared" si="16"/>
        <v>1.7922515719032641</v>
      </c>
      <c r="H37" s="2">
        <f t="shared" si="2"/>
        <v>3.3617278360175931</v>
      </c>
      <c r="I37" s="2">
        <f t="shared" si="17"/>
        <v>0.20411998265592479</v>
      </c>
      <c r="J37" s="2">
        <f t="shared" si="17"/>
        <v>1.3096301674258988</v>
      </c>
      <c r="K37" s="2">
        <f>LOG(AG37)</f>
        <v>1.1038037209559568</v>
      </c>
      <c r="L37" s="2">
        <f t="shared" si="0"/>
        <v>1.3979400086720377</v>
      </c>
      <c r="N37" s="2">
        <v>1</v>
      </c>
      <c r="O37" s="12">
        <v>61.98</v>
      </c>
      <c r="P37" s="2">
        <v>5</v>
      </c>
      <c r="Q37" s="9" t="s">
        <v>305</v>
      </c>
      <c r="R37" s="9" t="s">
        <v>308</v>
      </c>
      <c r="S37" s="10">
        <v>2300</v>
      </c>
      <c r="T37" s="10">
        <v>3</v>
      </c>
      <c r="U37" s="2" t="s">
        <v>305</v>
      </c>
      <c r="V37" s="9" t="s">
        <v>312</v>
      </c>
      <c r="W37" s="9" t="s">
        <v>311</v>
      </c>
      <c r="X37" s="2">
        <f>AVERAGE(2,1.2)</f>
        <v>1.6</v>
      </c>
      <c r="Y37" s="2">
        <f>AVERAGE(28.8,12)</f>
        <v>20.399999999999999</v>
      </c>
      <c r="Z37" s="2">
        <f>AVERAGE(60.2,62)</f>
        <v>61.1</v>
      </c>
      <c r="AA37" s="2">
        <f>Y37+Z37</f>
        <v>81.5</v>
      </c>
      <c r="AC37" s="2">
        <f>AVERAGE(3.3,5)</f>
        <v>4.1500000000000004</v>
      </c>
      <c r="AD37" s="2">
        <f>AB37+AC37</f>
        <v>4.1500000000000004</v>
      </c>
      <c r="AE37" s="9">
        <f>AA37+AD37</f>
        <v>85.65</v>
      </c>
      <c r="AG37" s="2">
        <v>12.7</v>
      </c>
      <c r="AH37" s="2">
        <v>12.4</v>
      </c>
      <c r="AI37" s="2">
        <v>2.2999999999999998</v>
      </c>
      <c r="AJ37" s="9">
        <f>AG37</f>
        <v>12.7</v>
      </c>
      <c r="AK37" s="2">
        <v>0</v>
      </c>
      <c r="AL37" s="9">
        <f>SUM(X37+AA37+AD37+AF37+AG37+AK37)</f>
        <v>99.95</v>
      </c>
      <c r="AM37" s="9" t="s">
        <v>460</v>
      </c>
      <c r="AN37" s="2" t="s">
        <v>486</v>
      </c>
      <c r="AQ37" s="2">
        <v>25</v>
      </c>
      <c r="AR37" s="2" t="s">
        <v>743</v>
      </c>
      <c r="AS37" s="2">
        <v>25</v>
      </c>
      <c r="AT37" s="2" t="s">
        <v>413</v>
      </c>
      <c r="BA37" s="16"/>
      <c r="BB37" s="16"/>
      <c r="BC37" s="16"/>
      <c r="BD37" s="16"/>
      <c r="BE37" s="16"/>
      <c r="BF37" s="16"/>
      <c r="BG37" s="16"/>
    </row>
    <row r="38" spans="1:59">
      <c r="A38" s="2" t="s">
        <v>37</v>
      </c>
      <c r="B38" s="2" t="s">
        <v>37</v>
      </c>
      <c r="C38" s="2" t="s">
        <v>37</v>
      </c>
      <c r="E38" s="2" t="s">
        <v>282</v>
      </c>
      <c r="F38" s="2">
        <v>0</v>
      </c>
      <c r="G38" s="2">
        <f t="shared" si="16"/>
        <v>1.255272505103306</v>
      </c>
      <c r="I38" s="2">
        <f t="shared" si="17"/>
        <v>1.1760912590556813</v>
      </c>
      <c r="J38" s="2">
        <f t="shared" si="17"/>
        <v>1.6720978579357175</v>
      </c>
      <c r="K38" s="2">
        <f>LOG(AG38)</f>
        <v>1.4471580313422192</v>
      </c>
      <c r="N38" s="2">
        <v>1</v>
      </c>
      <c r="O38" s="12">
        <v>18</v>
      </c>
      <c r="P38" s="2">
        <v>1</v>
      </c>
      <c r="Q38" s="2" t="s">
        <v>318</v>
      </c>
      <c r="R38" s="9" t="s">
        <v>308</v>
      </c>
      <c r="S38" s="10"/>
      <c r="T38" s="10"/>
      <c r="U38" s="2"/>
      <c r="V38" s="9"/>
      <c r="W38" s="9"/>
      <c r="X38" s="2">
        <v>15</v>
      </c>
      <c r="Y38" s="2">
        <v>47</v>
      </c>
      <c r="AA38" s="2">
        <f>Y38+Z38</f>
        <v>47</v>
      </c>
      <c r="AC38" s="2">
        <v>2</v>
      </c>
      <c r="AD38" s="2">
        <f>AB38+AC38</f>
        <v>2</v>
      </c>
      <c r="AE38" s="9">
        <f>AA38+AD38</f>
        <v>49</v>
      </c>
      <c r="AG38" s="2">
        <v>28</v>
      </c>
      <c r="AH38" s="2">
        <v>28</v>
      </c>
      <c r="AI38" s="2">
        <v>0</v>
      </c>
      <c r="AJ38" s="9">
        <f>AG38</f>
        <v>28</v>
      </c>
      <c r="AK38" s="2">
        <v>8</v>
      </c>
      <c r="AL38" s="9">
        <f>SUM(X38+AA38+AD38+AF38+AG38+AK38)</f>
        <v>100</v>
      </c>
      <c r="AM38" s="9"/>
      <c r="AN38" s="2" t="s">
        <v>487</v>
      </c>
      <c r="BA38" s="16"/>
      <c r="BB38" s="16"/>
      <c r="BC38" s="16"/>
      <c r="BD38" s="16"/>
      <c r="BE38" s="16"/>
      <c r="BF38" s="16"/>
      <c r="BG38" s="16"/>
    </row>
    <row r="39" spans="1:59">
      <c r="A39" s="2" t="s">
        <v>38</v>
      </c>
      <c r="B39" s="2" t="s">
        <v>38</v>
      </c>
      <c r="C39" s="2" t="s">
        <v>38</v>
      </c>
      <c r="E39" s="2" t="s">
        <v>282</v>
      </c>
      <c r="F39" s="2">
        <v>0</v>
      </c>
      <c r="G39" s="2">
        <f t="shared" si="16"/>
        <v>1.234896745731588</v>
      </c>
      <c r="H39" s="2">
        <f t="shared" si="2"/>
        <v>2.9444826721501687</v>
      </c>
      <c r="L39" s="2">
        <f>LOG(AS39)</f>
        <v>0.34242268082220628</v>
      </c>
      <c r="N39" s="2">
        <v>1</v>
      </c>
      <c r="O39" s="12">
        <v>17.175000000000001</v>
      </c>
      <c r="P39" s="2">
        <v>4</v>
      </c>
      <c r="Q39" s="2" t="s">
        <v>316</v>
      </c>
      <c r="R39" s="9" t="s">
        <v>308</v>
      </c>
      <c r="S39" s="10">
        <v>880</v>
      </c>
      <c r="T39" s="10">
        <v>1</v>
      </c>
      <c r="U39" s="9" t="s">
        <v>316</v>
      </c>
      <c r="V39" s="2" t="s">
        <v>306</v>
      </c>
      <c r="W39" s="2" t="s">
        <v>307</v>
      </c>
      <c r="AQ39" s="9">
        <v>2.2000000000000002</v>
      </c>
      <c r="AR39" s="9" t="s">
        <v>744</v>
      </c>
      <c r="AS39" s="9">
        <v>2.2000000000000002</v>
      </c>
      <c r="AT39" s="9" t="s">
        <v>413</v>
      </c>
      <c r="AU39" s="9"/>
      <c r="BA39" s="16"/>
      <c r="BB39" s="16"/>
      <c r="BC39" s="16"/>
      <c r="BD39" s="16"/>
      <c r="BE39" s="16"/>
      <c r="BF39" s="16"/>
      <c r="BG39" s="16"/>
    </row>
    <row r="40" spans="1:59">
      <c r="A40" s="2" t="s">
        <v>39</v>
      </c>
      <c r="B40" s="2" t="s">
        <v>39</v>
      </c>
      <c r="C40" s="2" t="s">
        <v>39</v>
      </c>
      <c r="E40" s="2" t="s">
        <v>282</v>
      </c>
      <c r="F40" s="2">
        <v>0</v>
      </c>
      <c r="G40" s="2">
        <f t="shared" si="16"/>
        <v>1.241539950024007</v>
      </c>
      <c r="H40" s="2">
        <f t="shared" si="2"/>
        <v>2.9479236198317262</v>
      </c>
      <c r="I40" s="2">
        <f t="shared" ref="I40:J44" si="18">LOG(X40)</f>
        <v>1.1356626020000731</v>
      </c>
      <c r="J40" s="2">
        <f t="shared" si="18"/>
        <v>1.8808135922807914</v>
      </c>
      <c r="K40" s="2">
        <f t="shared" ref="K40:K47" si="19">LOG(AG40)</f>
        <v>0.92081875395237522</v>
      </c>
      <c r="L40" s="2">
        <f>LOG(AS40)</f>
        <v>0.52698506855999572</v>
      </c>
      <c r="N40" s="2">
        <v>1</v>
      </c>
      <c r="O40" s="12">
        <v>17.439737753221472</v>
      </c>
      <c r="P40" s="2">
        <v>14</v>
      </c>
      <c r="Q40" s="2" t="s">
        <v>316</v>
      </c>
      <c r="R40" s="9" t="s">
        <v>308</v>
      </c>
      <c r="S40" s="13">
        <v>887</v>
      </c>
      <c r="T40" s="8">
        <v>5</v>
      </c>
      <c r="U40" s="9" t="s">
        <v>316</v>
      </c>
      <c r="V40" s="9" t="s">
        <v>312</v>
      </c>
      <c r="W40" s="9" t="s">
        <v>311</v>
      </c>
      <c r="X40" s="9">
        <f>AVERAGE(21,8,12)</f>
        <v>13.666666666666666</v>
      </c>
      <c r="Y40" s="9">
        <f>AVERAGE(70,80,78)</f>
        <v>76</v>
      </c>
      <c r="Z40" s="9"/>
      <c r="AA40" s="2">
        <f t="shared" ref="AA40:AA46" si="20">Y40+Z40</f>
        <v>76</v>
      </c>
      <c r="AB40" s="9"/>
      <c r="AC40" s="9">
        <v>2</v>
      </c>
      <c r="AD40" s="2">
        <f>AB40+AC40</f>
        <v>2</v>
      </c>
      <c r="AE40" s="9">
        <f t="shared" ref="AE40:AE50" si="21">AA40+AD40</f>
        <v>78</v>
      </c>
      <c r="AF40" s="9"/>
      <c r="AG40" s="9">
        <v>8.3333333333333339</v>
      </c>
      <c r="AH40" s="9"/>
      <c r="AI40" s="9"/>
      <c r="AJ40" s="9">
        <f t="shared" ref="AJ40:AJ46" si="22">AG40</f>
        <v>8.3333333333333339</v>
      </c>
      <c r="AK40" s="9">
        <v>0</v>
      </c>
      <c r="AL40" s="9">
        <f t="shared" ref="AL40:AL46" si="23">SUM(X40+AA40+AD40+AF40+AG40+AK40)</f>
        <v>100</v>
      </c>
      <c r="AM40" s="9" t="s">
        <v>460</v>
      </c>
      <c r="AN40" s="9" t="s">
        <v>488</v>
      </c>
      <c r="AO40" s="9"/>
      <c r="AP40" s="9"/>
      <c r="AQ40" s="9">
        <v>3.3650000000000002</v>
      </c>
      <c r="AR40" s="9" t="s">
        <v>745</v>
      </c>
      <c r="AS40" s="9">
        <v>3.3650000000000002</v>
      </c>
      <c r="AT40" s="2" t="s">
        <v>413</v>
      </c>
      <c r="AV40" s="9"/>
      <c r="AW40" s="9"/>
      <c r="AX40" s="9"/>
      <c r="AY40" s="9"/>
      <c r="AZ40" s="9"/>
      <c r="BA40" s="17"/>
      <c r="BB40" s="17"/>
      <c r="BC40" s="17"/>
      <c r="BD40" s="17"/>
      <c r="BE40" s="17"/>
      <c r="BF40" s="17"/>
      <c r="BG40" s="17"/>
    </row>
    <row r="41" spans="1:59">
      <c r="A41" s="2" t="s">
        <v>40</v>
      </c>
      <c r="B41" s="2" t="s">
        <v>40</v>
      </c>
      <c r="C41" s="2" t="s">
        <v>40</v>
      </c>
      <c r="E41" s="2" t="s">
        <v>282</v>
      </c>
      <c r="F41" s="2">
        <v>0</v>
      </c>
      <c r="G41" s="2">
        <f t="shared" si="16"/>
        <v>1.2304489213782739</v>
      </c>
      <c r="I41" s="2">
        <f t="shared" si="18"/>
        <v>0.81291335664285558</v>
      </c>
      <c r="J41" s="2">
        <f t="shared" si="18"/>
        <v>1.7242758696007889</v>
      </c>
      <c r="K41" s="2">
        <f t="shared" si="19"/>
        <v>1.5250448070368452</v>
      </c>
      <c r="N41" s="2">
        <v>1</v>
      </c>
      <c r="O41" s="12">
        <v>17</v>
      </c>
      <c r="P41" s="2">
        <v>1</v>
      </c>
      <c r="Q41" s="2" t="s">
        <v>318</v>
      </c>
      <c r="R41" s="9" t="s">
        <v>308</v>
      </c>
      <c r="S41" s="10"/>
      <c r="T41" s="10"/>
      <c r="U41" s="9"/>
      <c r="V41" s="9"/>
      <c r="W41" s="9"/>
      <c r="X41" s="9">
        <f>AVERAGE(13,0)</f>
        <v>6.5</v>
      </c>
      <c r="Y41" s="9">
        <f>AVERAGE(63,43)</f>
        <v>53</v>
      </c>
      <c r="Z41" s="9"/>
      <c r="AA41" s="2">
        <f t="shared" si="20"/>
        <v>53</v>
      </c>
      <c r="AB41" s="9"/>
      <c r="AC41" s="9">
        <v>6</v>
      </c>
      <c r="AD41" s="2">
        <f>AB41+AC41</f>
        <v>6</v>
      </c>
      <c r="AE41" s="9">
        <f t="shared" si="21"/>
        <v>59</v>
      </c>
      <c r="AF41" s="9"/>
      <c r="AG41" s="2">
        <v>33.5</v>
      </c>
      <c r="AH41" s="9">
        <f>AVERAGE(39,28)</f>
        <v>33.5</v>
      </c>
      <c r="AI41" s="9">
        <v>0</v>
      </c>
      <c r="AJ41" s="9">
        <f t="shared" si="22"/>
        <v>33.5</v>
      </c>
      <c r="AK41" s="9">
        <v>1</v>
      </c>
      <c r="AL41" s="9">
        <f t="shared" si="23"/>
        <v>100</v>
      </c>
      <c r="AM41" s="9" t="s">
        <v>489</v>
      </c>
      <c r="AN41" s="9" t="s">
        <v>490</v>
      </c>
      <c r="AO41" s="9"/>
      <c r="AP41" s="9"/>
      <c r="AQ41" s="9"/>
      <c r="AR41" s="9"/>
      <c r="AS41" s="9"/>
      <c r="AV41" s="9"/>
      <c r="AW41" s="9"/>
      <c r="AX41" s="9"/>
      <c r="AY41" s="9"/>
      <c r="AZ41" s="9"/>
      <c r="BA41" s="17"/>
      <c r="BB41" s="17"/>
      <c r="BC41" s="17"/>
      <c r="BD41" s="17"/>
      <c r="BE41" s="17"/>
      <c r="BF41" s="17"/>
      <c r="BG41" s="17"/>
    </row>
    <row r="42" spans="1:59">
      <c r="A42" s="2" t="s">
        <v>41</v>
      </c>
      <c r="B42" s="2" t="s">
        <v>41</v>
      </c>
      <c r="C42" s="2" t="s">
        <v>41</v>
      </c>
      <c r="E42" s="2" t="s">
        <v>282</v>
      </c>
      <c r="F42" s="2">
        <v>0</v>
      </c>
      <c r="G42" s="2">
        <f t="shared" si="16"/>
        <v>1.2817640109560573</v>
      </c>
      <c r="H42" s="2">
        <f t="shared" si="2"/>
        <v>3.0374264979406238</v>
      </c>
      <c r="I42" s="2">
        <f t="shared" si="18"/>
        <v>0.53147891704225514</v>
      </c>
      <c r="J42" s="2">
        <f t="shared" si="18"/>
        <v>1.7737864449811935</v>
      </c>
      <c r="K42" s="2">
        <f t="shared" si="19"/>
        <v>0.80617997398388719</v>
      </c>
      <c r="L42" s="2">
        <f>LOG(AS42)</f>
        <v>0.68124123737558717</v>
      </c>
      <c r="M42" s="2">
        <f>LOG(AX42)</f>
        <v>1.1522883443830565</v>
      </c>
      <c r="N42" s="2">
        <v>1</v>
      </c>
      <c r="O42" s="12">
        <v>19.132160299006411</v>
      </c>
      <c r="P42" s="2">
        <v>16</v>
      </c>
      <c r="Q42" s="2" t="s">
        <v>316</v>
      </c>
      <c r="R42" s="9" t="s">
        <v>308</v>
      </c>
      <c r="S42" s="13">
        <v>1090</v>
      </c>
      <c r="T42" s="8">
        <v>10</v>
      </c>
      <c r="U42" s="9" t="s">
        <v>316</v>
      </c>
      <c r="V42" s="9" t="s">
        <v>312</v>
      </c>
      <c r="W42" s="9" t="s">
        <v>311</v>
      </c>
      <c r="X42" s="2">
        <v>3.4</v>
      </c>
      <c r="Y42" s="2">
        <v>59.4</v>
      </c>
      <c r="Z42" s="2">
        <v>26.9</v>
      </c>
      <c r="AA42" s="2">
        <f t="shared" si="20"/>
        <v>86.3</v>
      </c>
      <c r="AC42" s="2">
        <v>3.9</v>
      </c>
      <c r="AD42" s="2">
        <f>AB42+AC42</f>
        <v>3.9</v>
      </c>
      <c r="AE42" s="9">
        <f t="shared" si="21"/>
        <v>90.2</v>
      </c>
      <c r="AG42" s="2">
        <v>6.4</v>
      </c>
      <c r="AJ42" s="9">
        <f t="shared" si="22"/>
        <v>6.4</v>
      </c>
      <c r="AK42" s="2">
        <v>0</v>
      </c>
      <c r="AL42" s="9">
        <f t="shared" si="23"/>
        <v>100.00000000000001</v>
      </c>
      <c r="AM42" s="9" t="s">
        <v>460</v>
      </c>
      <c r="AN42" s="2" t="s">
        <v>491</v>
      </c>
      <c r="AQ42" s="2">
        <v>4.8</v>
      </c>
      <c r="AR42" s="2" t="s">
        <v>746</v>
      </c>
      <c r="AS42" s="2">
        <v>4.8</v>
      </c>
      <c r="AT42" s="2" t="s">
        <v>413</v>
      </c>
      <c r="AX42" s="2">
        <v>14.2</v>
      </c>
      <c r="AY42" s="2" t="s">
        <v>1090</v>
      </c>
      <c r="AZ42" s="2" t="s">
        <v>413</v>
      </c>
      <c r="BA42" s="16"/>
      <c r="BB42" s="16"/>
      <c r="BC42" s="16"/>
      <c r="BD42" s="16"/>
      <c r="BE42" s="16"/>
      <c r="BF42" s="16"/>
      <c r="BG42" s="16"/>
    </row>
    <row r="43" spans="1:59">
      <c r="A43" s="2" t="s">
        <v>42</v>
      </c>
      <c r="B43" s="2" t="s">
        <v>42</v>
      </c>
      <c r="C43" s="2" t="s">
        <v>42</v>
      </c>
      <c r="E43" s="2" t="s">
        <v>282</v>
      </c>
      <c r="F43" s="2">
        <v>0</v>
      </c>
      <c r="G43" s="2">
        <f t="shared" si="16"/>
        <v>1.1875207208364631</v>
      </c>
      <c r="H43" s="2">
        <f t="shared" si="2"/>
        <v>2.9947569445876283</v>
      </c>
      <c r="I43" s="2">
        <f t="shared" si="18"/>
        <v>1.2304489213782739</v>
      </c>
      <c r="J43" s="2">
        <f t="shared" si="18"/>
        <v>1.7323937598229686</v>
      </c>
      <c r="K43" s="2">
        <f t="shared" si="19"/>
        <v>1.4471580313422192</v>
      </c>
      <c r="L43" s="2">
        <f>LOG(AS43)</f>
        <v>0.54406804435027567</v>
      </c>
      <c r="M43" s="2">
        <f>LOG(AX43)</f>
        <v>0.96614173273903259</v>
      </c>
      <c r="N43" s="2">
        <v>1</v>
      </c>
      <c r="O43" s="12">
        <v>15.4</v>
      </c>
      <c r="P43" s="2">
        <v>3</v>
      </c>
      <c r="Q43" s="2" t="s">
        <v>316</v>
      </c>
      <c r="R43" s="9" t="s">
        <v>308</v>
      </c>
      <c r="S43" s="10">
        <v>988</v>
      </c>
      <c r="T43" s="10">
        <v>29</v>
      </c>
      <c r="U43" s="9" t="s">
        <v>316</v>
      </c>
      <c r="V43" s="2" t="s">
        <v>307</v>
      </c>
      <c r="W43" s="2" t="s">
        <v>330</v>
      </c>
      <c r="X43" s="2">
        <v>17</v>
      </c>
      <c r="Y43" s="2">
        <v>54</v>
      </c>
      <c r="AA43" s="2">
        <f t="shared" si="20"/>
        <v>54</v>
      </c>
      <c r="AE43" s="9">
        <f t="shared" si="21"/>
        <v>54</v>
      </c>
      <c r="AG43" s="2">
        <v>28</v>
      </c>
      <c r="AJ43" s="9">
        <f t="shared" si="22"/>
        <v>28</v>
      </c>
      <c r="AK43" s="2">
        <v>1</v>
      </c>
      <c r="AL43" s="9">
        <f t="shared" si="23"/>
        <v>100</v>
      </c>
      <c r="AM43" s="9" t="s">
        <v>460</v>
      </c>
      <c r="AN43" s="2" t="s">
        <v>492</v>
      </c>
      <c r="AQ43" s="2">
        <f>AVERAGE(3.2,3.1,4.2)</f>
        <v>3.5</v>
      </c>
      <c r="AR43" s="2" t="s">
        <v>745</v>
      </c>
      <c r="AS43" s="2">
        <v>3.5</v>
      </c>
      <c r="AT43" s="2" t="s">
        <v>747</v>
      </c>
      <c r="AX43" s="2">
        <v>9.25</v>
      </c>
      <c r="AY43" s="2" t="s">
        <v>1091</v>
      </c>
      <c r="AZ43" s="2" t="s">
        <v>413</v>
      </c>
      <c r="BA43" s="16"/>
      <c r="BB43" s="16"/>
      <c r="BC43" s="16"/>
      <c r="BD43" s="16"/>
      <c r="BE43" s="16"/>
      <c r="BF43" s="16"/>
      <c r="BG43" s="16"/>
    </row>
    <row r="44" spans="1:59">
      <c r="A44" s="2" t="s">
        <v>43</v>
      </c>
      <c r="B44" s="2" t="s">
        <v>43</v>
      </c>
      <c r="C44" s="2" t="s">
        <v>43</v>
      </c>
      <c r="E44" s="2" t="s">
        <v>282</v>
      </c>
      <c r="F44" s="2">
        <v>0</v>
      </c>
      <c r="G44" s="2">
        <f t="shared" si="16"/>
        <v>1.1430148002540952</v>
      </c>
      <c r="I44" s="2">
        <f t="shared" si="18"/>
        <v>1.3424226808222062</v>
      </c>
      <c r="J44" s="2">
        <f t="shared" si="18"/>
        <v>1.7323937598229686</v>
      </c>
      <c r="K44" s="2">
        <f t="shared" si="19"/>
        <v>1.0542299098633972</v>
      </c>
      <c r="N44" s="2">
        <v>1</v>
      </c>
      <c r="O44" s="12">
        <v>13.9</v>
      </c>
      <c r="P44" s="2">
        <v>1</v>
      </c>
      <c r="Q44" s="2" t="s">
        <v>318</v>
      </c>
      <c r="R44" s="9" t="s">
        <v>308</v>
      </c>
      <c r="S44" s="10"/>
      <c r="T44" s="10"/>
      <c r="U44" s="9"/>
      <c r="V44" s="2"/>
      <c r="W44" s="2"/>
      <c r="X44" s="2">
        <v>22</v>
      </c>
      <c r="Y44" s="2">
        <v>54</v>
      </c>
      <c r="Z44" s="2">
        <v>1.3</v>
      </c>
      <c r="AA44" s="2">
        <f t="shared" si="20"/>
        <v>55.3</v>
      </c>
      <c r="AC44" s="2">
        <v>4</v>
      </c>
      <c r="AD44" s="2">
        <f>AB44+AC44</f>
        <v>4</v>
      </c>
      <c r="AE44" s="9">
        <f t="shared" si="21"/>
        <v>59.3</v>
      </c>
      <c r="AG44" s="2">
        <v>11.33</v>
      </c>
      <c r="AH44" s="2">
        <v>11</v>
      </c>
      <c r="AI44" s="2">
        <v>0.33</v>
      </c>
      <c r="AJ44" s="9">
        <f t="shared" si="22"/>
        <v>11.33</v>
      </c>
      <c r="AK44" s="2">
        <v>7.4</v>
      </c>
      <c r="AL44" s="9">
        <f t="shared" si="23"/>
        <v>100.03</v>
      </c>
      <c r="AM44" s="9" t="s">
        <v>460</v>
      </c>
      <c r="AN44" s="2" t="s">
        <v>493</v>
      </c>
      <c r="BA44" s="16"/>
      <c r="BB44" s="16"/>
      <c r="BC44" s="16"/>
      <c r="BD44" s="16"/>
      <c r="BE44" s="16"/>
      <c r="BF44" s="16"/>
      <c r="BG44" s="16"/>
    </row>
    <row r="45" spans="1:59">
      <c r="A45" s="2" t="s">
        <v>44</v>
      </c>
      <c r="B45" s="2" t="s">
        <v>44</v>
      </c>
      <c r="C45" s="2" t="s">
        <v>44</v>
      </c>
      <c r="E45" s="2" t="s">
        <v>282</v>
      </c>
      <c r="F45" s="2">
        <v>0</v>
      </c>
      <c r="G45" s="2">
        <f t="shared" si="16"/>
        <v>1.3053513694466237</v>
      </c>
      <c r="J45" s="2">
        <f t="shared" ref="J45:J54" si="24">LOG(Y45)</f>
        <v>1.8343253137447937</v>
      </c>
      <c r="K45" s="2">
        <f t="shared" si="19"/>
        <v>1.2583978040955086</v>
      </c>
      <c r="N45" s="2">
        <v>1</v>
      </c>
      <c r="O45" s="12">
        <v>20.2</v>
      </c>
      <c r="P45" s="2">
        <v>1</v>
      </c>
      <c r="Q45" s="2" t="s">
        <v>318</v>
      </c>
      <c r="R45" s="9" t="s">
        <v>308</v>
      </c>
      <c r="S45" s="10"/>
      <c r="T45" s="10"/>
      <c r="U45" s="9"/>
      <c r="V45" s="2"/>
      <c r="W45" s="2"/>
      <c r="X45" s="2">
        <v>0</v>
      </c>
      <c r="Y45" s="2">
        <f>AVERAGE(81,55.57)</f>
        <v>68.284999999999997</v>
      </c>
      <c r="AA45" s="2">
        <f t="shared" si="20"/>
        <v>68.284999999999997</v>
      </c>
      <c r="AC45" s="2">
        <f>AVERAGE(1,22.2)</f>
        <v>11.6</v>
      </c>
      <c r="AD45" s="2">
        <f>AB45+AC45</f>
        <v>11.6</v>
      </c>
      <c r="AE45" s="9">
        <f t="shared" si="21"/>
        <v>79.884999999999991</v>
      </c>
      <c r="AG45" s="2">
        <v>18.130000000000003</v>
      </c>
      <c r="AJ45" s="9">
        <f t="shared" si="22"/>
        <v>18.130000000000003</v>
      </c>
      <c r="AK45" s="2">
        <v>2</v>
      </c>
      <c r="AL45" s="9">
        <f t="shared" si="23"/>
        <v>100.01499999999999</v>
      </c>
      <c r="AM45" s="9" t="s">
        <v>489</v>
      </c>
      <c r="AN45" s="2" t="s">
        <v>494</v>
      </c>
      <c r="BA45" s="16"/>
      <c r="BB45" s="16"/>
      <c r="BC45" s="16"/>
      <c r="BD45" s="16"/>
      <c r="BE45" s="16"/>
      <c r="BF45" s="16"/>
      <c r="BG45" s="16"/>
    </row>
    <row r="46" spans="1:59">
      <c r="A46" s="2" t="s">
        <v>45</v>
      </c>
      <c r="B46" s="2" t="s">
        <v>45</v>
      </c>
      <c r="C46" s="2" t="s">
        <v>45</v>
      </c>
      <c r="E46" s="2" t="s">
        <v>282</v>
      </c>
      <c r="F46" s="2">
        <v>0</v>
      </c>
      <c r="G46" s="2">
        <f t="shared" si="16"/>
        <v>1.2960976778250854</v>
      </c>
      <c r="H46" s="2">
        <f t="shared" si="2"/>
        <v>3.0951693514317551</v>
      </c>
      <c r="I46" s="2">
        <f t="shared" ref="I46:I60" si="25">LOG(X46)</f>
        <v>1.3010299956639813</v>
      </c>
      <c r="J46" s="2">
        <f t="shared" si="24"/>
        <v>1.8512583487190752</v>
      </c>
      <c r="K46" s="2">
        <f t="shared" si="19"/>
        <v>0.6020599913279624</v>
      </c>
      <c r="L46" s="2">
        <f t="shared" ref="L46:L61" si="26">LOG(AS46)</f>
        <v>0.59659709562646024</v>
      </c>
      <c r="M46" s="2">
        <f t="shared" ref="M46:M51" si="27">LOG(AX46)</f>
        <v>1.2013971243204515</v>
      </c>
      <c r="N46" s="2">
        <v>1</v>
      </c>
      <c r="O46" s="12">
        <v>19.774143333333331</v>
      </c>
      <c r="P46" s="2">
        <v>6</v>
      </c>
      <c r="Q46" s="2" t="s">
        <v>316</v>
      </c>
      <c r="R46" s="9" t="s">
        <v>308</v>
      </c>
      <c r="S46" s="10">
        <v>1245</v>
      </c>
      <c r="T46" s="10">
        <v>36</v>
      </c>
      <c r="U46" s="9" t="s">
        <v>316</v>
      </c>
      <c r="V46" s="2" t="s">
        <v>307</v>
      </c>
      <c r="W46" s="9" t="s">
        <v>311</v>
      </c>
      <c r="X46" s="2">
        <v>20</v>
      </c>
      <c r="Y46" s="2">
        <v>71</v>
      </c>
      <c r="AA46" s="2">
        <f t="shared" si="20"/>
        <v>71</v>
      </c>
      <c r="AE46" s="9">
        <f t="shared" si="21"/>
        <v>71</v>
      </c>
      <c r="AG46" s="2">
        <v>4</v>
      </c>
      <c r="AJ46" s="9">
        <f t="shared" si="22"/>
        <v>4</v>
      </c>
      <c r="AK46" s="2">
        <v>5</v>
      </c>
      <c r="AL46" s="9">
        <f t="shared" si="23"/>
        <v>100</v>
      </c>
      <c r="AM46" s="9" t="s">
        <v>460</v>
      </c>
      <c r="AN46" s="2" t="s">
        <v>413</v>
      </c>
      <c r="AQ46" s="2">
        <v>3.95</v>
      </c>
      <c r="AR46" s="9" t="s">
        <v>746</v>
      </c>
      <c r="AS46" s="2">
        <v>3.95</v>
      </c>
      <c r="AT46" s="2" t="s">
        <v>747</v>
      </c>
      <c r="AX46" s="2">
        <v>15.9</v>
      </c>
      <c r="AY46" s="2" t="s">
        <v>781</v>
      </c>
      <c r="AZ46" s="2" t="s">
        <v>747</v>
      </c>
      <c r="BA46" s="16"/>
      <c r="BB46" s="16"/>
      <c r="BC46" s="16"/>
      <c r="BD46" s="16"/>
      <c r="BE46" s="16"/>
      <c r="BF46" s="16"/>
      <c r="BG46" s="16"/>
    </row>
    <row r="47" spans="1:59">
      <c r="A47" s="2" t="s">
        <v>46</v>
      </c>
      <c r="B47" s="2" t="s">
        <v>46</v>
      </c>
      <c r="C47" s="2" t="s">
        <v>46</v>
      </c>
      <c r="E47" s="2" t="s">
        <v>281</v>
      </c>
      <c r="F47" s="2">
        <v>0</v>
      </c>
      <c r="G47" s="2">
        <f t="shared" si="16"/>
        <v>1.0508870391358305</v>
      </c>
      <c r="H47" s="2">
        <f t="shared" si="2"/>
        <v>2.598712361107141</v>
      </c>
      <c r="I47" s="2">
        <f t="shared" si="25"/>
        <v>1.6232492903979006</v>
      </c>
      <c r="J47" s="2">
        <f t="shared" si="24"/>
        <v>1.414973347970818</v>
      </c>
      <c r="K47" s="2">
        <f t="shared" si="19"/>
        <v>1.1139433523068367</v>
      </c>
      <c r="L47" s="2">
        <f t="shared" si="26"/>
        <v>0.65321251377534373</v>
      </c>
      <c r="M47" s="2">
        <f t="shared" si="27"/>
        <v>2</v>
      </c>
      <c r="N47" s="2">
        <v>1</v>
      </c>
      <c r="O47" s="12">
        <v>11.243124999999999</v>
      </c>
      <c r="P47" s="2">
        <v>12</v>
      </c>
      <c r="Q47" s="2" t="s">
        <v>316</v>
      </c>
      <c r="R47" s="9" t="s">
        <v>308</v>
      </c>
      <c r="S47" s="13">
        <v>396.92857142857144</v>
      </c>
      <c r="T47" s="8">
        <v>11</v>
      </c>
      <c r="U47" s="9" t="s">
        <v>316</v>
      </c>
      <c r="V47" s="15" t="s">
        <v>331</v>
      </c>
      <c r="W47" s="15"/>
      <c r="X47" s="9">
        <f>AVERAGE(31,53)</f>
        <v>42</v>
      </c>
      <c r="Y47" s="2">
        <f>AVERAGE(29,23)</f>
        <v>26</v>
      </c>
      <c r="Z47" s="9">
        <v>0</v>
      </c>
      <c r="AA47" s="2">
        <f>AVERAGE(29,23)</f>
        <v>26</v>
      </c>
      <c r="AB47" s="9"/>
      <c r="AC47" s="9"/>
      <c r="AD47" s="9"/>
      <c r="AE47" s="9">
        <f t="shared" si="21"/>
        <v>26</v>
      </c>
      <c r="AF47" s="9">
        <f>AVERAGE(14,5)</f>
        <v>9.5</v>
      </c>
      <c r="AG47" s="9">
        <v>13</v>
      </c>
      <c r="AH47" s="9">
        <v>0</v>
      </c>
      <c r="AI47" s="9">
        <v>0</v>
      </c>
      <c r="AJ47" s="9">
        <v>22.5</v>
      </c>
      <c r="AK47" s="9">
        <v>0</v>
      </c>
      <c r="AL47" s="9">
        <f>SUM(X47+Y47+AF47+AJ47+AK47)</f>
        <v>100</v>
      </c>
      <c r="AM47" s="9" t="s">
        <v>495</v>
      </c>
      <c r="AN47" s="9" t="s">
        <v>496</v>
      </c>
      <c r="AQ47" s="9">
        <v>4.5</v>
      </c>
      <c r="AR47" s="9" t="s">
        <v>714</v>
      </c>
      <c r="AS47" s="9">
        <v>4.5</v>
      </c>
      <c r="AT47" s="9" t="s">
        <v>748</v>
      </c>
      <c r="AU47" s="9"/>
      <c r="AV47" s="9"/>
      <c r="AW47" s="9"/>
      <c r="AX47" s="9">
        <v>100</v>
      </c>
      <c r="AY47" s="9" t="s">
        <v>1092</v>
      </c>
      <c r="AZ47" s="9" t="s">
        <v>1093</v>
      </c>
      <c r="BA47" s="17"/>
      <c r="BB47" s="17"/>
      <c r="BC47" s="17"/>
      <c r="BD47" s="17"/>
      <c r="BE47" s="17"/>
      <c r="BF47" s="16"/>
      <c r="BG47" s="17"/>
    </row>
    <row r="48" spans="1:59">
      <c r="A48" s="2" t="s">
        <v>47</v>
      </c>
      <c r="B48" s="2" t="s">
        <v>47</v>
      </c>
      <c r="C48" s="2" t="s">
        <v>47</v>
      </c>
      <c r="E48" s="2" t="s">
        <v>281</v>
      </c>
      <c r="F48" s="2">
        <v>0</v>
      </c>
      <c r="G48" s="2">
        <f t="shared" si="16"/>
        <v>0.92556990954337626</v>
      </c>
      <c r="I48" s="2">
        <f t="shared" si="25"/>
        <v>1.5854607295085006</v>
      </c>
      <c r="J48" s="2">
        <f t="shared" si="24"/>
        <v>1.0413926851582251</v>
      </c>
      <c r="L48" s="2">
        <f t="shared" si="26"/>
        <v>0.77815125038364363</v>
      </c>
      <c r="M48" s="2">
        <f t="shared" si="27"/>
        <v>1.5740312677277188</v>
      </c>
      <c r="N48" s="2">
        <v>1</v>
      </c>
      <c r="O48" s="12">
        <v>8.4250000000000007</v>
      </c>
      <c r="P48" s="2">
        <v>4</v>
      </c>
      <c r="Q48" s="2" t="s">
        <v>318</v>
      </c>
      <c r="R48" s="9" t="s">
        <v>308</v>
      </c>
      <c r="S48" s="13"/>
      <c r="T48" s="8"/>
      <c r="U48" s="9"/>
      <c r="V48" s="2"/>
      <c r="W48" s="2"/>
      <c r="X48" s="9">
        <v>38.5</v>
      </c>
      <c r="Y48" s="2">
        <v>11</v>
      </c>
      <c r="Z48" s="9"/>
      <c r="AA48" s="2">
        <f>Y48+Z48</f>
        <v>11</v>
      </c>
      <c r="AB48" s="9"/>
      <c r="AC48" s="9"/>
      <c r="AD48" s="9"/>
      <c r="AE48" s="9">
        <f t="shared" si="21"/>
        <v>11</v>
      </c>
      <c r="AF48" s="9">
        <v>50.5</v>
      </c>
      <c r="AG48" s="9">
        <v>0</v>
      </c>
      <c r="AH48" s="9"/>
      <c r="AI48" s="9"/>
      <c r="AJ48" s="9">
        <f>AG48</f>
        <v>0</v>
      </c>
      <c r="AK48" s="9">
        <v>0</v>
      </c>
      <c r="AL48" s="9">
        <f>SUM(X48+Y48+AF48+AJ48+AK48)</f>
        <v>100</v>
      </c>
      <c r="AM48" s="9" t="s">
        <v>460</v>
      </c>
      <c r="AN48" s="9" t="s">
        <v>497</v>
      </c>
      <c r="AQ48" s="9">
        <v>6</v>
      </c>
      <c r="AR48" s="9" t="s">
        <v>749</v>
      </c>
      <c r="AS48" s="9">
        <v>6</v>
      </c>
      <c r="AT48" s="9" t="s">
        <v>612</v>
      </c>
      <c r="AU48" s="9">
        <v>959</v>
      </c>
      <c r="AV48" s="9"/>
      <c r="AW48" s="9"/>
      <c r="AX48" s="9">
        <v>37.5</v>
      </c>
      <c r="AY48" s="9" t="s">
        <v>1094</v>
      </c>
      <c r="AZ48" s="9" t="s">
        <v>552</v>
      </c>
      <c r="BA48" s="17"/>
      <c r="BB48" s="17"/>
      <c r="BC48" s="17"/>
      <c r="BD48" s="17"/>
      <c r="BE48" s="17"/>
      <c r="BF48" s="16"/>
      <c r="BG48" s="17"/>
    </row>
    <row r="49" spans="1:59">
      <c r="A49" s="2" t="s">
        <v>48</v>
      </c>
      <c r="B49" s="2" t="s">
        <v>48</v>
      </c>
      <c r="C49" s="2" t="s">
        <v>48</v>
      </c>
      <c r="E49" s="2" t="s">
        <v>281</v>
      </c>
      <c r="F49" s="2">
        <v>0</v>
      </c>
      <c r="I49" s="2">
        <f t="shared" si="25"/>
        <v>1.2977605110991339</v>
      </c>
      <c r="J49" s="2">
        <f t="shared" si="24"/>
        <v>0.98452731334379262</v>
      </c>
      <c r="L49" s="2">
        <f t="shared" si="26"/>
        <v>0.95904139232109353</v>
      </c>
      <c r="M49" s="2">
        <f t="shared" si="27"/>
        <v>1.550228353055094</v>
      </c>
      <c r="N49" s="2">
        <v>1</v>
      </c>
      <c r="O49" s="9"/>
      <c r="P49" s="14"/>
      <c r="Q49" s="2"/>
      <c r="R49" s="9"/>
      <c r="S49" s="13"/>
      <c r="T49" s="8"/>
      <c r="U49" s="9"/>
      <c r="V49" s="2"/>
      <c r="W49" s="2"/>
      <c r="X49" s="9">
        <v>19.850000000000001</v>
      </c>
      <c r="Y49" s="2">
        <v>9.65</v>
      </c>
      <c r="Z49" s="9">
        <v>4.04</v>
      </c>
      <c r="AA49" s="2">
        <f>Y49+Z49</f>
        <v>13.690000000000001</v>
      </c>
      <c r="AB49" s="9">
        <v>0.46</v>
      </c>
      <c r="AC49" s="9"/>
      <c r="AD49" s="9">
        <f>SUM(AB49:AC49)</f>
        <v>0.46</v>
      </c>
      <c r="AE49" s="9">
        <f t="shared" si="21"/>
        <v>14.150000000000002</v>
      </c>
      <c r="AF49" s="9">
        <v>66</v>
      </c>
      <c r="AG49" s="9">
        <v>0</v>
      </c>
      <c r="AH49" s="9"/>
      <c r="AI49" s="9"/>
      <c r="AJ49" s="9"/>
      <c r="AK49" s="9">
        <v>0</v>
      </c>
      <c r="AL49" s="9">
        <f>SUM(X49+AA49+AF49+AJ49+AK49+AD49)</f>
        <v>100</v>
      </c>
      <c r="AM49" s="9" t="s">
        <v>460</v>
      </c>
      <c r="AN49" s="9" t="s">
        <v>498</v>
      </c>
      <c r="AQ49" s="9">
        <v>9.1</v>
      </c>
      <c r="AR49" s="9" t="s">
        <v>750</v>
      </c>
      <c r="AS49" s="9">
        <v>9.1</v>
      </c>
      <c r="AT49" s="2" t="s">
        <v>612</v>
      </c>
      <c r="AU49" s="9">
        <v>1222.5</v>
      </c>
      <c r="AV49" s="9"/>
      <c r="AW49" s="9"/>
      <c r="AX49" s="9">
        <v>35.5</v>
      </c>
      <c r="AY49" s="9"/>
      <c r="AZ49" s="2" t="s">
        <v>612</v>
      </c>
      <c r="BA49" s="17"/>
      <c r="BB49" s="17"/>
      <c r="BC49" s="17"/>
      <c r="BD49" s="17"/>
      <c r="BE49" s="17"/>
      <c r="BF49" s="16"/>
      <c r="BG49" s="17"/>
    </row>
    <row r="50" spans="1:59">
      <c r="A50" s="2" t="s">
        <v>49</v>
      </c>
      <c r="B50" s="2" t="s">
        <v>49</v>
      </c>
      <c r="C50" s="2" t="s">
        <v>49</v>
      </c>
      <c r="E50" s="2" t="s">
        <v>281</v>
      </c>
      <c r="F50" s="2">
        <v>0</v>
      </c>
      <c r="G50" s="2">
        <f t="shared" ref="G50:G70" si="28">LOG(O50)</f>
        <v>0.99011676606790433</v>
      </c>
      <c r="H50" s="2">
        <f t="shared" si="2"/>
        <v>2.5294624375851074</v>
      </c>
      <c r="I50" s="2">
        <f t="shared" si="25"/>
        <v>1.1875207208364631</v>
      </c>
      <c r="J50" s="2">
        <f t="shared" si="24"/>
        <v>1.1760912590556813</v>
      </c>
      <c r="L50" s="2">
        <f t="shared" si="26"/>
        <v>0.87506126339170009</v>
      </c>
      <c r="M50" s="2">
        <f t="shared" si="27"/>
        <v>1.4586378490256493</v>
      </c>
      <c r="N50" s="2">
        <v>1</v>
      </c>
      <c r="O50" s="12">
        <v>9.7749999999999986</v>
      </c>
      <c r="P50" s="2">
        <v>4</v>
      </c>
      <c r="Q50" s="2" t="s">
        <v>318</v>
      </c>
      <c r="R50" s="9" t="s">
        <v>308</v>
      </c>
      <c r="S50" s="8">
        <v>338.42500000000001</v>
      </c>
      <c r="T50" s="10">
        <v>11</v>
      </c>
      <c r="U50" s="2" t="s">
        <v>318</v>
      </c>
      <c r="V50" s="15" t="s">
        <v>332</v>
      </c>
      <c r="W50" s="2"/>
      <c r="X50" s="2">
        <v>15.4</v>
      </c>
      <c r="Y50" s="2">
        <v>15</v>
      </c>
      <c r="AA50" s="2">
        <f>SUM(Y50:Z50)</f>
        <v>15</v>
      </c>
      <c r="AE50" s="9">
        <f t="shared" si="21"/>
        <v>15</v>
      </c>
      <c r="AF50" s="2">
        <v>68.599999999999994</v>
      </c>
      <c r="AG50" s="2">
        <v>0</v>
      </c>
      <c r="AK50" s="2">
        <v>1</v>
      </c>
      <c r="AL50" s="9">
        <f>SUM(X50+AE50+AF50+AG50+AK50)</f>
        <v>100</v>
      </c>
      <c r="AM50" s="9" t="s">
        <v>460</v>
      </c>
      <c r="AN50" s="2" t="s">
        <v>499</v>
      </c>
      <c r="AQ50" s="2">
        <v>7.5</v>
      </c>
      <c r="AR50" s="9" t="s">
        <v>751</v>
      </c>
      <c r="AS50" s="2">
        <v>7.5</v>
      </c>
      <c r="AT50" s="2" t="s">
        <v>752</v>
      </c>
      <c r="AU50" s="2">
        <f>AVERAGE(982,1037)</f>
        <v>1009.5</v>
      </c>
      <c r="AX50" s="2">
        <v>28.75</v>
      </c>
      <c r="AY50" s="2" t="s">
        <v>1095</v>
      </c>
      <c r="AZ50" s="2" t="s">
        <v>1096</v>
      </c>
      <c r="BA50" s="16"/>
      <c r="BB50" s="16"/>
      <c r="BC50" s="16"/>
      <c r="BD50" s="16"/>
      <c r="BE50" s="16"/>
      <c r="BF50" s="16"/>
      <c r="BG50" s="16"/>
    </row>
    <row r="51" spans="1:59">
      <c r="A51" s="2" t="s">
        <v>50</v>
      </c>
      <c r="B51" s="2" t="s">
        <v>50</v>
      </c>
      <c r="C51" s="2" t="s">
        <v>50</v>
      </c>
      <c r="E51" s="2" t="s">
        <v>281</v>
      </c>
      <c r="F51" s="2">
        <v>0</v>
      </c>
      <c r="G51" s="2">
        <f t="shared" si="28"/>
        <v>0.87432561899938077</v>
      </c>
      <c r="H51" s="2">
        <f t="shared" si="2"/>
        <v>2.5051499783199058</v>
      </c>
      <c r="I51" s="2">
        <f t="shared" si="25"/>
        <v>0.85733249643126852</v>
      </c>
      <c r="J51" s="2">
        <f t="shared" si="24"/>
        <v>1.3138672203691535</v>
      </c>
      <c r="L51" s="2">
        <f t="shared" si="26"/>
        <v>0.9258672018415135</v>
      </c>
      <c r="M51" s="2">
        <f t="shared" si="27"/>
        <v>0.66651798055488076</v>
      </c>
      <c r="N51" s="2">
        <v>1</v>
      </c>
      <c r="O51" s="12">
        <v>7.4873066250000004</v>
      </c>
      <c r="P51" s="2">
        <v>16</v>
      </c>
      <c r="Q51" s="2" t="s">
        <v>316</v>
      </c>
      <c r="R51" s="9" t="s">
        <v>308</v>
      </c>
      <c r="S51" s="13">
        <v>320</v>
      </c>
      <c r="T51" s="8">
        <v>155</v>
      </c>
      <c r="U51" s="9" t="s">
        <v>316</v>
      </c>
      <c r="V51" s="15" t="s">
        <v>333</v>
      </c>
      <c r="W51" s="15"/>
      <c r="X51" s="9">
        <v>7.2</v>
      </c>
      <c r="Y51" s="9">
        <v>20.6</v>
      </c>
      <c r="Z51" s="9"/>
      <c r="AA51" s="2">
        <f>SUM(Y51:Z51)</f>
        <v>20.6</v>
      </c>
      <c r="AB51" s="9"/>
      <c r="AC51" s="9"/>
      <c r="AD51" s="9"/>
      <c r="AE51" s="9">
        <v>20.6</v>
      </c>
      <c r="AF51" s="9">
        <v>71.7</v>
      </c>
      <c r="AG51" s="9">
        <v>0</v>
      </c>
      <c r="AH51" s="9">
        <v>0</v>
      </c>
      <c r="AI51" s="9">
        <v>0</v>
      </c>
      <c r="AJ51" s="9">
        <f>AG51</f>
        <v>0</v>
      </c>
      <c r="AK51" s="9">
        <v>0.5</v>
      </c>
      <c r="AL51" s="9">
        <f>SUM(X51+AE51+AF51+AG51+AK51)</f>
        <v>100</v>
      </c>
      <c r="AM51" s="9" t="s">
        <v>460</v>
      </c>
      <c r="AN51" s="9" t="s">
        <v>500</v>
      </c>
      <c r="AO51" s="9"/>
      <c r="AP51" s="9"/>
      <c r="AQ51" s="9">
        <f>(7*10.6+10*6.4+18*8.7+4*8.5)/39</f>
        <v>8.4307692307692292</v>
      </c>
      <c r="AR51" s="9" t="s">
        <v>750</v>
      </c>
      <c r="AS51" s="9">
        <v>8.4307692307692292</v>
      </c>
      <c r="AT51" s="9" t="s">
        <v>753</v>
      </c>
      <c r="AU51" s="9">
        <f>AVERAGE(528.987)</f>
        <v>528.98699999999997</v>
      </c>
      <c r="AV51" s="9"/>
      <c r="AW51" s="9"/>
      <c r="AX51" s="9">
        <f>AVERAGE(2.9,6.6,5.2,4.6,3.9)</f>
        <v>4.6399999999999988</v>
      </c>
      <c r="AY51" s="9" t="s">
        <v>1097</v>
      </c>
      <c r="AZ51" s="9" t="s">
        <v>612</v>
      </c>
      <c r="BA51" s="17"/>
      <c r="BB51" s="17"/>
      <c r="BC51" s="17"/>
      <c r="BD51" s="17"/>
      <c r="BE51" s="17"/>
      <c r="BF51" s="17"/>
      <c r="BG51" s="16"/>
    </row>
    <row r="52" spans="1:59">
      <c r="A52" s="2" t="s">
        <v>51</v>
      </c>
      <c r="B52" s="2" t="s">
        <v>51</v>
      </c>
      <c r="C52" s="2" t="s">
        <v>51</v>
      </c>
      <c r="E52" s="2" t="s">
        <v>281</v>
      </c>
      <c r="F52" s="2">
        <v>0</v>
      </c>
      <c r="G52" s="2">
        <f t="shared" si="28"/>
        <v>0.90164200904831293</v>
      </c>
      <c r="H52" s="2">
        <f t="shared" si="2"/>
        <v>2.5720967679505193</v>
      </c>
      <c r="I52" s="2">
        <f t="shared" si="25"/>
        <v>1.1303337684950061</v>
      </c>
      <c r="J52" s="2">
        <f t="shared" si="24"/>
        <v>1.7499294641076697</v>
      </c>
      <c r="L52" s="2">
        <f t="shared" si="26"/>
        <v>0.7323937598229685</v>
      </c>
      <c r="N52" s="2">
        <v>1</v>
      </c>
      <c r="O52" s="12">
        <v>7.9733716758900686</v>
      </c>
      <c r="P52" s="2">
        <v>7</v>
      </c>
      <c r="Q52" s="2" t="s">
        <v>318</v>
      </c>
      <c r="R52" s="9" t="s">
        <v>308</v>
      </c>
      <c r="S52" s="13">
        <v>373.33333333333331</v>
      </c>
      <c r="T52" s="8">
        <v>6</v>
      </c>
      <c r="U52" s="9" t="s">
        <v>316</v>
      </c>
      <c r="V52" s="9" t="s">
        <v>312</v>
      </c>
      <c r="W52" s="9"/>
      <c r="X52" s="9">
        <v>13.5</v>
      </c>
      <c r="Y52" s="2">
        <f>0.65*86.5</f>
        <v>56.225000000000001</v>
      </c>
      <c r="Z52" s="9"/>
      <c r="AA52" s="2">
        <f>SUM(Y52:Z52)</f>
        <v>56.225000000000001</v>
      </c>
      <c r="AB52" s="9"/>
      <c r="AC52" s="9">
        <f>0.03*86.5</f>
        <v>2.5949999999999998</v>
      </c>
      <c r="AD52" s="2">
        <f>AB52+AC52</f>
        <v>2.5949999999999998</v>
      </c>
      <c r="AE52" s="9">
        <f>AA52+AD52</f>
        <v>58.82</v>
      </c>
      <c r="AF52" s="9">
        <f>0.32*86.5</f>
        <v>27.68</v>
      </c>
      <c r="AG52" s="9"/>
      <c r="AH52" s="9"/>
      <c r="AI52" s="9"/>
      <c r="AJ52" s="9"/>
      <c r="AK52" s="9">
        <v>0</v>
      </c>
      <c r="AL52" s="9">
        <f>SUM(X52+AE52+AF52+AG52+AK52)</f>
        <v>100</v>
      </c>
      <c r="AM52" s="9" t="s">
        <v>501</v>
      </c>
      <c r="AN52" s="9" t="s">
        <v>502</v>
      </c>
      <c r="AQ52" s="9">
        <v>5.4</v>
      </c>
      <c r="AR52" s="9" t="s">
        <v>754</v>
      </c>
      <c r="AS52" s="9">
        <v>5.4</v>
      </c>
      <c r="AT52" s="2" t="s">
        <v>612</v>
      </c>
      <c r="AU52" s="9"/>
      <c r="AV52" s="9"/>
      <c r="AW52" s="9"/>
      <c r="AX52" s="9"/>
      <c r="AY52" s="9"/>
      <c r="AZ52" s="9"/>
      <c r="BA52" s="17"/>
      <c r="BB52" s="17"/>
      <c r="BC52" s="17"/>
      <c r="BD52" s="17"/>
      <c r="BE52" s="17"/>
      <c r="BF52" s="16"/>
      <c r="BG52" s="17"/>
    </row>
    <row r="53" spans="1:59">
      <c r="A53" s="2" t="s">
        <v>52</v>
      </c>
      <c r="B53" s="2" t="s">
        <v>52</v>
      </c>
      <c r="C53" s="2" t="s">
        <v>52</v>
      </c>
      <c r="E53" s="2" t="s">
        <v>281</v>
      </c>
      <c r="F53" s="2">
        <v>0</v>
      </c>
      <c r="G53" s="2">
        <f t="shared" si="28"/>
        <v>0.85533307717211926</v>
      </c>
      <c r="H53" s="2">
        <f t="shared" si="2"/>
        <v>2.4758325461126143</v>
      </c>
      <c r="I53" s="2">
        <f t="shared" si="25"/>
        <v>1.4232458739368079</v>
      </c>
      <c r="J53" s="2">
        <f t="shared" si="24"/>
        <v>1.3891660843645324</v>
      </c>
      <c r="L53" s="2">
        <f t="shared" si="26"/>
        <v>0.74036268949424389</v>
      </c>
      <c r="M53" s="2">
        <f>LOG(AX53)</f>
        <v>1.1072099696478683</v>
      </c>
      <c r="N53" s="2">
        <v>1</v>
      </c>
      <c r="O53" s="12">
        <v>7.1669285885789495</v>
      </c>
      <c r="P53" s="2">
        <v>28</v>
      </c>
      <c r="Q53" s="2" t="s">
        <v>316</v>
      </c>
      <c r="R53" s="9" t="s">
        <v>308</v>
      </c>
      <c r="S53" s="13">
        <v>299.11111111111109</v>
      </c>
      <c r="T53" s="8">
        <v>9</v>
      </c>
      <c r="U53" s="9" t="s">
        <v>316</v>
      </c>
      <c r="V53" s="9" t="s">
        <v>312</v>
      </c>
      <c r="W53" s="9" t="s">
        <v>311</v>
      </c>
      <c r="X53" s="2">
        <f>AVERAGE(24,29)</f>
        <v>26.5</v>
      </c>
      <c r="Y53" s="2">
        <f>AVERAGE(16,33)</f>
        <v>24.5</v>
      </c>
      <c r="AA53" s="2">
        <f>SUM(Y53:Z53)</f>
        <v>24.5</v>
      </c>
      <c r="AE53" s="9">
        <f>AA53+AD53</f>
        <v>24.5</v>
      </c>
      <c r="AF53" s="2">
        <f>AVERAGE(46,70,38)-2.3</f>
        <v>49.033333333333339</v>
      </c>
      <c r="AG53" s="9">
        <v>0</v>
      </c>
      <c r="AJ53" s="2">
        <v>0</v>
      </c>
      <c r="AK53" s="2">
        <v>0</v>
      </c>
      <c r="AL53" s="9">
        <f>SUM(X53+AE53+AF53+AG53+AK53)</f>
        <v>100.03333333333333</v>
      </c>
      <c r="AM53" s="9" t="s">
        <v>495</v>
      </c>
      <c r="AN53" s="9" t="s">
        <v>503</v>
      </c>
      <c r="AQ53" s="2">
        <v>5.5</v>
      </c>
      <c r="AR53" s="2" t="s">
        <v>723</v>
      </c>
      <c r="AS53" s="2">
        <v>5.5</v>
      </c>
      <c r="AT53" s="9" t="s">
        <v>755</v>
      </c>
      <c r="AU53" s="9"/>
      <c r="AX53" s="2">
        <v>12.8</v>
      </c>
      <c r="AY53" s="9" t="s">
        <v>1098</v>
      </c>
      <c r="AZ53" s="2" t="s">
        <v>1099</v>
      </c>
      <c r="BA53" s="16"/>
      <c r="BB53" s="16"/>
      <c r="BC53" s="16"/>
      <c r="BD53" s="16"/>
      <c r="BE53" s="16"/>
      <c r="BF53" s="16"/>
      <c r="BG53" s="17"/>
    </row>
    <row r="54" spans="1:59">
      <c r="A54" s="2" t="s">
        <v>53</v>
      </c>
      <c r="B54" s="2" t="s">
        <v>1387</v>
      </c>
      <c r="C54" s="2" t="s">
        <v>53</v>
      </c>
      <c r="E54" s="2" t="s">
        <v>281</v>
      </c>
      <c r="F54" s="2">
        <v>0</v>
      </c>
      <c r="G54" s="2">
        <f t="shared" si="28"/>
        <v>0.62268079925856878</v>
      </c>
      <c r="H54" s="2">
        <f t="shared" si="2"/>
        <v>2.0644579892269186</v>
      </c>
      <c r="I54" s="2">
        <f t="shared" si="25"/>
        <v>1.5185139398778875</v>
      </c>
      <c r="J54" s="2">
        <f t="shared" si="24"/>
        <v>0</v>
      </c>
      <c r="L54" s="2">
        <f t="shared" si="26"/>
        <v>0.7291647896927701</v>
      </c>
      <c r="M54" s="2">
        <f>LOG(AX54)</f>
        <v>-0.29242982390206362</v>
      </c>
      <c r="N54" s="2">
        <v>1</v>
      </c>
      <c r="O54" s="12">
        <v>4.1945058</v>
      </c>
      <c r="P54" s="2">
        <v>20</v>
      </c>
      <c r="Q54" s="2" t="s">
        <v>316</v>
      </c>
      <c r="R54" s="9" t="s">
        <v>308</v>
      </c>
      <c r="S54" s="13">
        <v>116</v>
      </c>
      <c r="T54" s="8">
        <v>63</v>
      </c>
      <c r="U54" s="9" t="s">
        <v>316</v>
      </c>
      <c r="V54" s="2" t="s">
        <v>306</v>
      </c>
      <c r="W54" s="2" t="s">
        <v>334</v>
      </c>
      <c r="X54" s="9">
        <v>33</v>
      </c>
      <c r="Y54" s="9">
        <v>1</v>
      </c>
      <c r="Z54" s="9"/>
      <c r="AA54" s="9">
        <f>Y54+Z54</f>
        <v>1</v>
      </c>
      <c r="AB54" s="9"/>
      <c r="AC54" s="9"/>
      <c r="AD54" s="9"/>
      <c r="AE54" s="9">
        <v>1</v>
      </c>
      <c r="AF54" s="9">
        <v>66</v>
      </c>
      <c r="AG54" s="9">
        <v>0</v>
      </c>
      <c r="AH54" s="9">
        <v>0</v>
      </c>
      <c r="AI54" s="9">
        <v>0</v>
      </c>
      <c r="AJ54" s="9">
        <f>AG54</f>
        <v>0</v>
      </c>
      <c r="AK54" s="9">
        <v>0</v>
      </c>
      <c r="AL54" s="9">
        <f t="shared" ref="AL54:AL60" si="29">SUM(X54+AA54+AD54+AF54+AG54+AK54)</f>
        <v>100</v>
      </c>
      <c r="AM54" s="9" t="s">
        <v>460</v>
      </c>
      <c r="AN54" s="9" t="s">
        <v>504</v>
      </c>
      <c r="AO54" s="9"/>
      <c r="AP54" s="9"/>
      <c r="AQ54" s="9">
        <v>5.36</v>
      </c>
      <c r="AR54" s="9" t="s">
        <v>712</v>
      </c>
      <c r="AS54" s="9">
        <v>5.36</v>
      </c>
      <c r="AT54" s="9" t="s">
        <v>756</v>
      </c>
      <c r="AU54" s="9">
        <v>290</v>
      </c>
      <c r="AV54" s="9"/>
      <c r="AW54" s="9"/>
      <c r="AX54" s="9">
        <v>0.51</v>
      </c>
      <c r="AY54" s="9" t="s">
        <v>1100</v>
      </c>
      <c r="AZ54" s="9" t="s">
        <v>504</v>
      </c>
      <c r="BA54" s="17"/>
      <c r="BB54" s="17"/>
      <c r="BC54" s="17"/>
      <c r="BD54" s="17"/>
      <c r="BE54" s="17"/>
      <c r="BF54" s="16"/>
      <c r="BG54" s="17"/>
    </row>
    <row r="55" spans="1:59">
      <c r="A55" s="2" t="s">
        <v>54</v>
      </c>
      <c r="B55" s="2" t="s">
        <v>54</v>
      </c>
      <c r="C55" s="2" t="s">
        <v>54</v>
      </c>
      <c r="E55" s="2" t="s">
        <v>284</v>
      </c>
      <c r="F55" s="2">
        <v>0</v>
      </c>
      <c r="G55" s="2">
        <f t="shared" si="28"/>
        <v>1.8195731188948132</v>
      </c>
      <c r="H55" s="2">
        <f t="shared" si="2"/>
        <v>3.3038977077644649</v>
      </c>
      <c r="I55" s="2">
        <f t="shared" si="25"/>
        <v>1.3010299956639813</v>
      </c>
      <c r="L55" s="2">
        <f t="shared" si="26"/>
        <v>1.3979400086720377</v>
      </c>
      <c r="M55" s="2">
        <f>LOG(AX55)</f>
        <v>2.3170181010481117</v>
      </c>
      <c r="N55" s="2">
        <v>1</v>
      </c>
      <c r="O55" s="12">
        <v>66.004435161141373</v>
      </c>
      <c r="P55" s="2">
        <v>33</v>
      </c>
      <c r="Q55" s="9" t="s">
        <v>305</v>
      </c>
      <c r="R55" s="9" t="s">
        <v>308</v>
      </c>
      <c r="S55" s="8">
        <v>2013.25</v>
      </c>
      <c r="T55" s="10">
        <v>8</v>
      </c>
      <c r="U55" s="9" t="s">
        <v>305</v>
      </c>
      <c r="V55" s="9" t="s">
        <v>312</v>
      </c>
      <c r="W55" s="9"/>
      <c r="X55" s="9">
        <v>20</v>
      </c>
      <c r="Y55" s="9"/>
      <c r="Z55" s="9"/>
      <c r="AA55" s="9">
        <v>80</v>
      </c>
      <c r="AB55" s="9"/>
      <c r="AC55" s="9"/>
      <c r="AD55" s="9"/>
      <c r="AE55" s="9"/>
      <c r="AF55" s="9"/>
      <c r="AG55" s="9">
        <v>0</v>
      </c>
      <c r="AH55" s="9"/>
      <c r="AI55" s="9"/>
      <c r="AJ55" s="9"/>
      <c r="AK55" s="9">
        <v>0</v>
      </c>
      <c r="AL55" s="9">
        <f t="shared" si="29"/>
        <v>100</v>
      </c>
      <c r="AM55" s="9"/>
      <c r="AN55" s="9" t="s">
        <v>505</v>
      </c>
      <c r="AO55" s="9"/>
      <c r="AP55" s="9"/>
      <c r="AQ55" s="9">
        <v>25</v>
      </c>
      <c r="AR55" s="9" t="s">
        <v>757</v>
      </c>
      <c r="AS55" s="9">
        <v>25</v>
      </c>
      <c r="AT55" s="9" t="s">
        <v>718</v>
      </c>
      <c r="AU55" s="9"/>
      <c r="AV55" s="9"/>
      <c r="AW55" s="9"/>
      <c r="AX55" s="9">
        <v>207.5</v>
      </c>
      <c r="AY55" s="9" t="s">
        <v>1101</v>
      </c>
      <c r="AZ55" s="9" t="s">
        <v>1102</v>
      </c>
      <c r="BA55" s="16"/>
      <c r="BB55" s="16"/>
      <c r="BC55" s="16"/>
      <c r="BD55" s="16"/>
      <c r="BE55" s="16"/>
      <c r="BF55" s="16"/>
      <c r="BG55" s="16"/>
    </row>
    <row r="56" spans="1:59">
      <c r="A56" s="2" t="s">
        <v>55</v>
      </c>
      <c r="B56" s="2" t="s">
        <v>55</v>
      </c>
      <c r="C56" s="2" t="s">
        <v>55</v>
      </c>
      <c r="E56" s="2" t="s">
        <v>284</v>
      </c>
      <c r="F56" s="2">
        <v>0</v>
      </c>
      <c r="G56" s="2">
        <f t="shared" si="28"/>
        <v>1.8071021861697563</v>
      </c>
      <c r="H56" s="2">
        <f t="shared" si="2"/>
        <v>3.4046216470721506</v>
      </c>
      <c r="I56" s="2">
        <f t="shared" si="25"/>
        <v>1.3979400086720377</v>
      </c>
      <c r="J56" s="2">
        <f>LOG(Y56)</f>
        <v>1.6655809910179531</v>
      </c>
      <c r="K56" s="2">
        <f>LOG(AG56)</f>
        <v>1.2041199826559248</v>
      </c>
      <c r="L56" s="2">
        <f t="shared" si="26"/>
        <v>1.1430148002540952</v>
      </c>
      <c r="M56" s="2">
        <f>LOG(AX56)</f>
        <v>2.2084413564385672</v>
      </c>
      <c r="N56" s="2">
        <v>1</v>
      </c>
      <c r="O56" s="12">
        <v>64.136046604491412</v>
      </c>
      <c r="P56" s="2">
        <v>78</v>
      </c>
      <c r="Q56" s="9" t="s">
        <v>305</v>
      </c>
      <c r="R56" s="9" t="s">
        <v>308</v>
      </c>
      <c r="S56" s="8">
        <v>2538.7600000000002</v>
      </c>
      <c r="T56" s="10">
        <v>25</v>
      </c>
      <c r="U56" s="9" t="s">
        <v>305</v>
      </c>
      <c r="V56" s="9" t="s">
        <v>312</v>
      </c>
      <c r="W56" s="9" t="s">
        <v>311</v>
      </c>
      <c r="X56" s="9">
        <v>25</v>
      </c>
      <c r="Y56" s="9">
        <f>71-24.7</f>
        <v>46.3</v>
      </c>
      <c r="Z56" s="9">
        <v>7</v>
      </c>
      <c r="AA56" s="9">
        <f>Y56+Z56</f>
        <v>53.3</v>
      </c>
      <c r="AB56" s="9"/>
      <c r="AC56" s="9">
        <v>5.7</v>
      </c>
      <c r="AD56" s="2">
        <f>AB56+AC56</f>
        <v>5.7</v>
      </c>
      <c r="AE56" s="9">
        <f>AA56+AD56</f>
        <v>59</v>
      </c>
      <c r="AF56" s="9"/>
      <c r="AG56" s="9">
        <v>16</v>
      </c>
      <c r="AH56" s="9">
        <v>1.1000000000000001</v>
      </c>
      <c r="AI56" s="9"/>
      <c r="AJ56" s="9">
        <f>AG56</f>
        <v>16</v>
      </c>
      <c r="AK56" s="9">
        <v>0</v>
      </c>
      <c r="AL56" s="9">
        <f t="shared" si="29"/>
        <v>100</v>
      </c>
      <c r="AM56" s="9" t="s">
        <v>460</v>
      </c>
      <c r="AN56" s="9" t="s">
        <v>506</v>
      </c>
      <c r="AO56" s="9"/>
      <c r="AP56" s="9"/>
      <c r="AQ56" s="9">
        <f>AVERAGE(27,7.7,16,8.7,10,14)</f>
        <v>13.9</v>
      </c>
      <c r="AR56" s="9" t="s">
        <v>758</v>
      </c>
      <c r="AS56" s="9">
        <v>13.9</v>
      </c>
      <c r="AT56" s="9" t="s">
        <v>759</v>
      </c>
      <c r="AU56" s="9"/>
      <c r="AV56" s="9"/>
      <c r="AW56" s="9"/>
      <c r="AX56" s="9">
        <v>161.6</v>
      </c>
      <c r="AY56" s="2" t="s">
        <v>1103</v>
      </c>
      <c r="AZ56" s="9" t="s">
        <v>1104</v>
      </c>
      <c r="BA56" s="17"/>
      <c r="BB56" s="17"/>
      <c r="BC56" s="17"/>
      <c r="BD56" s="17"/>
      <c r="BE56" s="17"/>
      <c r="BF56" s="16"/>
      <c r="BG56" s="17"/>
    </row>
    <row r="57" spans="1:59">
      <c r="A57" s="2" t="s">
        <v>56</v>
      </c>
      <c r="B57" s="2" t="s">
        <v>56</v>
      </c>
      <c r="C57" s="2" t="s">
        <v>56</v>
      </c>
      <c r="E57" s="2" t="s">
        <v>284</v>
      </c>
      <c r="F57" s="2">
        <v>0</v>
      </c>
      <c r="G57" s="2">
        <f t="shared" si="28"/>
        <v>1.8402347221018356</v>
      </c>
      <c r="H57" s="2">
        <f t="shared" si="2"/>
        <v>3.3867664157173136</v>
      </c>
      <c r="I57" s="2">
        <f t="shared" si="25"/>
        <v>1.3010299956639813</v>
      </c>
      <c r="J57" s="2">
        <f>LOG(Y57)</f>
        <v>1.8129133566428555</v>
      </c>
      <c r="K57" s="2">
        <f>LOG(AG57)</f>
        <v>1.1760912590556813</v>
      </c>
      <c r="L57" s="2">
        <f t="shared" si="26"/>
        <v>1.2148438480476977</v>
      </c>
      <c r="M57" s="2">
        <f>LOG(AX57)</f>
        <v>2.167317334748176</v>
      </c>
      <c r="N57" s="2">
        <v>1</v>
      </c>
      <c r="O57" s="12">
        <v>69.220498421410127</v>
      </c>
      <c r="P57" s="2">
        <v>35</v>
      </c>
      <c r="Q57" s="9" t="s">
        <v>305</v>
      </c>
      <c r="R57" s="9" t="s">
        <v>308</v>
      </c>
      <c r="S57" s="8">
        <v>2436.5</v>
      </c>
      <c r="T57" s="10">
        <v>6</v>
      </c>
      <c r="U57" s="9" t="s">
        <v>305</v>
      </c>
      <c r="V57" s="9" t="s">
        <v>312</v>
      </c>
      <c r="W57" s="9" t="s">
        <v>311</v>
      </c>
      <c r="X57" s="9">
        <v>20</v>
      </c>
      <c r="Y57" s="9">
        <v>65</v>
      </c>
      <c r="Z57" s="9"/>
      <c r="AA57" s="2">
        <f>Y57+Z57</f>
        <v>65</v>
      </c>
      <c r="AB57" s="9"/>
      <c r="AC57" s="9"/>
      <c r="AD57" s="9"/>
      <c r="AE57" s="9"/>
      <c r="AF57" s="9"/>
      <c r="AG57" s="9">
        <v>15</v>
      </c>
      <c r="AH57" s="9"/>
      <c r="AI57" s="9"/>
      <c r="AJ57" s="9">
        <f>AG57</f>
        <v>15</v>
      </c>
      <c r="AK57" s="9">
        <v>0</v>
      </c>
      <c r="AL57" s="9">
        <f t="shared" si="29"/>
        <v>100</v>
      </c>
      <c r="AM57" s="9"/>
      <c r="AN57" s="9" t="s">
        <v>507</v>
      </c>
      <c r="AO57" s="9"/>
      <c r="AP57" s="9"/>
      <c r="AQ57" s="9">
        <v>16.399999999999999</v>
      </c>
      <c r="AR57" s="9" t="s">
        <v>760</v>
      </c>
      <c r="AS57" s="9">
        <v>16.399999999999999</v>
      </c>
      <c r="AT57" s="9" t="s">
        <v>761</v>
      </c>
      <c r="AU57" s="9"/>
      <c r="AV57" s="9"/>
      <c r="AW57" s="9"/>
      <c r="AX57" s="9">
        <v>147</v>
      </c>
      <c r="AY57" s="9" t="s">
        <v>1105</v>
      </c>
      <c r="AZ57" s="9" t="s">
        <v>718</v>
      </c>
      <c r="BA57" s="17"/>
      <c r="BB57" s="17"/>
      <c r="BC57" s="17"/>
      <c r="BD57" s="17"/>
      <c r="BE57" s="17"/>
      <c r="BF57" s="16"/>
      <c r="BG57" s="17"/>
    </row>
    <row r="58" spans="1:59">
      <c r="A58" s="2" t="s">
        <v>57</v>
      </c>
      <c r="B58" s="2" t="s">
        <v>57</v>
      </c>
      <c r="C58" s="2" t="s">
        <v>57</v>
      </c>
      <c r="E58" s="2" t="s">
        <v>284</v>
      </c>
      <c r="F58" s="2">
        <v>0</v>
      </c>
      <c r="G58" s="2">
        <f t="shared" si="28"/>
        <v>1.8038221573593094</v>
      </c>
      <c r="H58" s="2">
        <f t="shared" si="2"/>
        <v>3.3257076225797406</v>
      </c>
      <c r="I58" s="2">
        <f t="shared" si="25"/>
        <v>1.4913616938342726</v>
      </c>
      <c r="J58" s="2">
        <f>LOG(Y58)</f>
        <v>1.6720978579357175</v>
      </c>
      <c r="K58" s="2">
        <f>LOG(AG58)</f>
        <v>0.6020599913279624</v>
      </c>
      <c r="L58" s="2">
        <f t="shared" si="26"/>
        <v>1.1139433523068367</v>
      </c>
      <c r="N58" s="2">
        <v>1</v>
      </c>
      <c r="O58" s="12">
        <v>63.653480791889386</v>
      </c>
      <c r="P58" s="2">
        <v>31</v>
      </c>
      <c r="Q58" s="9" t="s">
        <v>305</v>
      </c>
      <c r="R58" s="9" t="s">
        <v>306</v>
      </c>
      <c r="S58" s="8">
        <v>2116.9354838709678</v>
      </c>
      <c r="T58" s="10">
        <v>31</v>
      </c>
      <c r="U58" s="9" t="s">
        <v>305</v>
      </c>
      <c r="V58" s="9" t="s">
        <v>312</v>
      </c>
      <c r="W58" s="9" t="s">
        <v>311</v>
      </c>
      <c r="X58" s="2">
        <v>31</v>
      </c>
      <c r="Y58" s="2">
        <v>47</v>
      </c>
      <c r="AA58" s="9">
        <f>Y58+Z58</f>
        <v>47</v>
      </c>
      <c r="AC58" s="2">
        <v>4</v>
      </c>
      <c r="AD58" s="2">
        <f>AB58+AC58</f>
        <v>4</v>
      </c>
      <c r="AE58" s="9">
        <f>AA58+AD58</f>
        <v>51</v>
      </c>
      <c r="AG58" s="2">
        <v>4</v>
      </c>
      <c r="AJ58" s="9">
        <f>AG58</f>
        <v>4</v>
      </c>
      <c r="AK58" s="2">
        <v>14</v>
      </c>
      <c r="AL58" s="9">
        <f t="shared" si="29"/>
        <v>100</v>
      </c>
      <c r="AM58" s="9" t="s">
        <v>460</v>
      </c>
      <c r="AN58" s="2" t="s">
        <v>508</v>
      </c>
      <c r="AQ58" s="9">
        <v>13</v>
      </c>
      <c r="AS58" s="9">
        <v>13</v>
      </c>
      <c r="AT58" s="9" t="s">
        <v>762</v>
      </c>
      <c r="AU58" s="9"/>
      <c r="BA58" s="16"/>
      <c r="BB58" s="16"/>
      <c r="BC58" s="16"/>
      <c r="BD58" s="16"/>
      <c r="BE58" s="16"/>
      <c r="BF58" s="16"/>
      <c r="BG58" s="16"/>
    </row>
    <row r="59" spans="1:59">
      <c r="A59" s="2" t="s">
        <v>58</v>
      </c>
      <c r="B59" s="2" t="s">
        <v>58</v>
      </c>
      <c r="C59" s="2" t="s">
        <v>58</v>
      </c>
      <c r="E59" s="2" t="s">
        <v>284</v>
      </c>
      <c r="F59" s="2">
        <v>0</v>
      </c>
      <c r="G59" s="2">
        <f t="shared" si="28"/>
        <v>1.8131273776245183</v>
      </c>
      <c r="H59" s="2">
        <f t="shared" si="2"/>
        <v>3.3486011220250367</v>
      </c>
      <c r="I59" s="2">
        <f t="shared" si="25"/>
        <v>1.4353665066126613</v>
      </c>
      <c r="J59" s="2">
        <f>LOG(Y59)</f>
        <v>1.4932488700574187</v>
      </c>
      <c r="K59" s="2">
        <f>LOG(AG59)</f>
        <v>1.4477005604345132</v>
      </c>
      <c r="L59" s="2">
        <f t="shared" si="26"/>
        <v>1.18089014193745</v>
      </c>
      <c r="M59" s="2">
        <f>LOG(AX59)</f>
        <v>2.4743619760326307</v>
      </c>
      <c r="N59" s="2">
        <v>1</v>
      </c>
      <c r="O59" s="12">
        <v>65.03203999295792</v>
      </c>
      <c r="P59" s="2">
        <v>23</v>
      </c>
      <c r="Q59" s="9" t="s">
        <v>305</v>
      </c>
      <c r="R59" s="9" t="s">
        <v>306</v>
      </c>
      <c r="S59" s="8">
        <v>2231.521739130435</v>
      </c>
      <c r="T59" s="10">
        <v>23</v>
      </c>
      <c r="U59" s="9" t="s">
        <v>305</v>
      </c>
      <c r="V59" s="9" t="s">
        <v>312</v>
      </c>
      <c r="W59" s="9" t="s">
        <v>311</v>
      </c>
      <c r="X59" s="2">
        <f>AVERAGE(31,23.5)</f>
        <v>27.25</v>
      </c>
      <c r="Y59" s="2">
        <f>AVERAGE(42,20.27)</f>
        <v>31.134999999999998</v>
      </c>
      <c r="AA59" s="2">
        <f>Y59+Z59</f>
        <v>31.134999999999998</v>
      </c>
      <c r="AB59" s="2">
        <v>3</v>
      </c>
      <c r="AD59" s="2">
        <f>AB59+AC59</f>
        <v>3</v>
      </c>
      <c r="AE59" s="2">
        <f>AA59+AD59</f>
        <v>34.134999999999998</v>
      </c>
      <c r="AG59" s="2">
        <v>28.035</v>
      </c>
      <c r="AI59" s="2" t="s">
        <v>457</v>
      </c>
      <c r="AJ59" s="2">
        <f>AG59</f>
        <v>28.035</v>
      </c>
      <c r="AK59" s="2">
        <v>10.6</v>
      </c>
      <c r="AL59" s="9">
        <f t="shared" si="29"/>
        <v>100.02</v>
      </c>
      <c r="AM59" s="2" t="s">
        <v>495</v>
      </c>
      <c r="AN59" s="9" t="s">
        <v>509</v>
      </c>
      <c r="AQ59" s="2">
        <f>AVERAGE(12,6,27.5)</f>
        <v>15.166666666666666</v>
      </c>
      <c r="AS59" s="2">
        <v>15.166666666666666</v>
      </c>
      <c r="AT59" s="9" t="s">
        <v>763</v>
      </c>
      <c r="AU59" s="9"/>
      <c r="AX59" s="2">
        <v>298.09999999999997</v>
      </c>
      <c r="AZ59" s="9" t="s">
        <v>1106</v>
      </c>
      <c r="BA59" s="16"/>
      <c r="BB59" s="16"/>
      <c r="BC59" s="16"/>
      <c r="BD59" s="16"/>
      <c r="BE59" s="16"/>
      <c r="BF59" s="16"/>
      <c r="BG59" s="16"/>
    </row>
    <row r="60" spans="1:59">
      <c r="A60" s="2" t="s">
        <v>59</v>
      </c>
      <c r="B60" s="2" t="s">
        <v>59</v>
      </c>
      <c r="C60" s="2" t="s">
        <v>59</v>
      </c>
      <c r="E60" s="2" t="s">
        <v>284</v>
      </c>
      <c r="F60" s="2">
        <v>0</v>
      </c>
      <c r="G60" s="2">
        <f t="shared" si="28"/>
        <v>1.8456332451732926</v>
      </c>
      <c r="H60" s="2">
        <f t="shared" si="2"/>
        <v>3.342768005015254</v>
      </c>
      <c r="I60" s="2">
        <f t="shared" si="25"/>
        <v>1.6627578316815741</v>
      </c>
      <c r="J60" s="2">
        <f>LOG(Y60)</f>
        <v>1.6232492903979006</v>
      </c>
      <c r="K60" s="2">
        <f>LOG(AG60)</f>
        <v>0.77815125038364363</v>
      </c>
      <c r="L60" s="2">
        <f t="shared" si="26"/>
        <v>1.3222192947339193</v>
      </c>
      <c r="M60" s="2">
        <f>LOG(AX60)</f>
        <v>2.4377505628203879</v>
      </c>
      <c r="N60" s="2">
        <v>1</v>
      </c>
      <c r="O60" s="12">
        <v>70.086318055799993</v>
      </c>
      <c r="P60" s="2">
        <v>12</v>
      </c>
      <c r="Q60" s="9" t="s">
        <v>305</v>
      </c>
      <c r="R60" s="9" t="s">
        <v>308</v>
      </c>
      <c r="S60" s="8">
        <v>2201.75</v>
      </c>
      <c r="T60" s="10">
        <v>4</v>
      </c>
      <c r="U60" s="9" t="s">
        <v>305</v>
      </c>
      <c r="V60" s="9" t="s">
        <v>312</v>
      </c>
      <c r="W60" s="9" t="s">
        <v>311</v>
      </c>
      <c r="X60" s="9">
        <v>46</v>
      </c>
      <c r="Y60" s="9">
        <v>42</v>
      </c>
      <c r="Z60" s="9">
        <v>4</v>
      </c>
      <c r="AA60" s="9">
        <f>Y60+Z60</f>
        <v>46</v>
      </c>
      <c r="AB60" s="9">
        <v>1</v>
      </c>
      <c r="AC60" s="9">
        <v>1</v>
      </c>
      <c r="AD60" s="2">
        <f>AB60+AC60</f>
        <v>2</v>
      </c>
      <c r="AE60" s="9">
        <f>AA60+AD60</f>
        <v>48</v>
      </c>
      <c r="AF60" s="9"/>
      <c r="AG60" s="9">
        <v>6</v>
      </c>
      <c r="AH60" s="9"/>
      <c r="AI60" s="9"/>
      <c r="AJ60" s="2">
        <f>AG60</f>
        <v>6</v>
      </c>
      <c r="AK60" s="9">
        <v>0</v>
      </c>
      <c r="AL60" s="9">
        <f t="shared" si="29"/>
        <v>100</v>
      </c>
      <c r="AM60" s="9" t="s">
        <v>460</v>
      </c>
      <c r="AN60" s="9" t="s">
        <v>510</v>
      </c>
      <c r="AO60" s="9"/>
      <c r="AP60" s="9"/>
      <c r="AQ60" s="9">
        <v>21</v>
      </c>
      <c r="AR60" s="9" t="s">
        <v>764</v>
      </c>
      <c r="AS60" s="9">
        <v>21</v>
      </c>
      <c r="AT60" s="9" t="s">
        <v>765</v>
      </c>
      <c r="AU60" s="9"/>
      <c r="AV60" s="9"/>
      <c r="AW60" s="9"/>
      <c r="AX60" s="9">
        <v>274</v>
      </c>
      <c r="AY60" s="9"/>
      <c r="AZ60" s="9" t="s">
        <v>1107</v>
      </c>
      <c r="BA60" s="17"/>
      <c r="BB60" s="17"/>
      <c r="BC60" s="17"/>
      <c r="BD60" s="17"/>
      <c r="BE60" s="17"/>
      <c r="BF60" s="17"/>
      <c r="BG60" s="17"/>
    </row>
    <row r="61" spans="1:59">
      <c r="A61" s="2" t="s">
        <v>60</v>
      </c>
      <c r="B61" s="2" t="s">
        <v>60</v>
      </c>
      <c r="C61" s="2" t="s">
        <v>60</v>
      </c>
      <c r="E61" s="2" t="s">
        <v>284</v>
      </c>
      <c r="F61" s="2">
        <v>0</v>
      </c>
      <c r="G61" s="2">
        <f t="shared" si="28"/>
        <v>1.8062126764993918</v>
      </c>
      <c r="H61" s="2">
        <f t="shared" si="2"/>
        <v>3.3357921019231931</v>
      </c>
      <c r="L61" s="2">
        <f t="shared" si="26"/>
        <v>1.2304489213782739</v>
      </c>
      <c r="M61" s="2">
        <f>LOG(AX61)</f>
        <v>2.8041394323353503</v>
      </c>
      <c r="N61" s="2">
        <v>1</v>
      </c>
      <c r="O61" s="12">
        <v>64.004819402230083</v>
      </c>
      <c r="P61" s="2">
        <v>3</v>
      </c>
      <c r="Q61" s="9" t="s">
        <v>305</v>
      </c>
      <c r="R61" s="9" t="s">
        <v>306</v>
      </c>
      <c r="S61" s="8">
        <v>2166.6666666666665</v>
      </c>
      <c r="T61" s="10">
        <v>3</v>
      </c>
      <c r="U61" s="9" t="s">
        <v>305</v>
      </c>
      <c r="V61" s="9" t="s">
        <v>312</v>
      </c>
      <c r="W61" s="9" t="s">
        <v>311</v>
      </c>
      <c r="AQ61" s="9">
        <v>17</v>
      </c>
      <c r="AS61" s="9">
        <v>17</v>
      </c>
      <c r="AT61" s="9" t="s">
        <v>766</v>
      </c>
      <c r="AU61" s="9"/>
      <c r="AX61" s="2">
        <v>637</v>
      </c>
      <c r="AZ61" s="9" t="s">
        <v>766</v>
      </c>
      <c r="BA61" s="16"/>
      <c r="BB61" s="16"/>
      <c r="BC61" s="16"/>
      <c r="BD61" s="16"/>
      <c r="BE61" s="16"/>
      <c r="BF61" s="16"/>
      <c r="BG61" s="16"/>
    </row>
    <row r="62" spans="1:59">
      <c r="A62" s="2" t="s">
        <v>61</v>
      </c>
      <c r="B62" s="2" t="s">
        <v>61</v>
      </c>
      <c r="C62" s="2" t="s">
        <v>61</v>
      </c>
      <c r="D62" s="2" t="s">
        <v>271</v>
      </c>
      <c r="E62" s="2" t="s">
        <v>272</v>
      </c>
      <c r="F62" s="2">
        <v>0</v>
      </c>
      <c r="G62" s="2">
        <f t="shared" si="28"/>
        <v>2.0041866355955054</v>
      </c>
      <c r="N62" s="2">
        <v>1</v>
      </c>
      <c r="O62" s="12">
        <v>100.96867</v>
      </c>
      <c r="P62" s="2">
        <v>10</v>
      </c>
      <c r="Q62" s="9" t="s">
        <v>305</v>
      </c>
      <c r="R62" s="9" t="s">
        <v>308</v>
      </c>
      <c r="S62" s="10"/>
      <c r="T62" s="10"/>
      <c r="U62" s="9"/>
      <c r="V62" s="2"/>
      <c r="W62" s="2"/>
      <c r="AA62" s="2">
        <f>AVERAGE(64,76)</f>
        <v>70</v>
      </c>
      <c r="AN62" s="2" t="s">
        <v>511</v>
      </c>
      <c r="AQ62" s="9"/>
      <c r="AS62" s="9"/>
      <c r="AT62" s="9"/>
      <c r="AU62" s="9"/>
      <c r="AZ62" s="9"/>
      <c r="BA62" s="16"/>
      <c r="BB62" s="16"/>
      <c r="BC62" s="16"/>
      <c r="BD62" s="16"/>
      <c r="BE62" s="16"/>
      <c r="BF62" s="16"/>
      <c r="BG62" s="16"/>
    </row>
    <row r="63" spans="1:59">
      <c r="A63" s="2" t="s">
        <v>62</v>
      </c>
      <c r="B63" s="2" t="s">
        <v>1388</v>
      </c>
      <c r="C63" s="2" t="s">
        <v>62</v>
      </c>
      <c r="D63" s="2" t="s">
        <v>271</v>
      </c>
      <c r="E63" s="2" t="s">
        <v>272</v>
      </c>
      <c r="F63" s="2" t="s">
        <v>1345</v>
      </c>
      <c r="G63" s="2">
        <f t="shared" si="28"/>
        <v>1.9385197251764918</v>
      </c>
      <c r="H63" s="2">
        <f t="shared" si="2"/>
        <v>3.7923916894982539</v>
      </c>
      <c r="I63" s="2">
        <f>LOG(X63)</f>
        <v>0.7323937598229685</v>
      </c>
      <c r="J63" s="2">
        <f>LOG(Y63)</f>
        <v>1.8350561017201164</v>
      </c>
      <c r="K63" s="2">
        <f>LOG(AG63)</f>
        <v>1.3802112417116059</v>
      </c>
      <c r="L63" s="2">
        <f>LOG(AS63)</f>
        <v>1.6989700043360187</v>
      </c>
      <c r="M63" s="2">
        <f>LOG(AX63)</f>
        <v>2.6989700043360187</v>
      </c>
      <c r="N63" s="2">
        <v>1</v>
      </c>
      <c r="O63" s="12">
        <v>86.8</v>
      </c>
      <c r="P63" s="2">
        <v>10</v>
      </c>
      <c r="Q63" s="9" t="s">
        <v>305</v>
      </c>
      <c r="R63" s="9" t="s">
        <v>306</v>
      </c>
      <c r="S63" s="13">
        <v>6200</v>
      </c>
      <c r="T63" s="8">
        <v>4</v>
      </c>
      <c r="U63" s="9" t="s">
        <v>305</v>
      </c>
      <c r="V63" s="2" t="s">
        <v>306</v>
      </c>
      <c r="W63" s="2" t="s">
        <v>335</v>
      </c>
      <c r="X63" s="9">
        <v>5.4</v>
      </c>
      <c r="Y63" s="9">
        <v>68.400000000000006</v>
      </c>
      <c r="Z63" s="9"/>
      <c r="AA63" s="9">
        <f t="shared" ref="AA63:AA70" si="30">Y63+Z63</f>
        <v>68.400000000000006</v>
      </c>
      <c r="AB63" s="9"/>
      <c r="AC63" s="9">
        <v>1.3</v>
      </c>
      <c r="AD63" s="2">
        <f>AB63+AC63</f>
        <v>1.3</v>
      </c>
      <c r="AE63" s="9">
        <f>AA63+AD63</f>
        <v>69.7</v>
      </c>
      <c r="AF63" s="9"/>
      <c r="AG63" s="9">
        <v>24</v>
      </c>
      <c r="AH63" s="9"/>
      <c r="AI63" s="9"/>
      <c r="AJ63" s="2">
        <f>AG63</f>
        <v>24</v>
      </c>
      <c r="AK63" s="9">
        <v>0.9</v>
      </c>
      <c r="AL63" s="9">
        <f>SUM(X63+AA63+AD63+AF63+AG63+AK63)</f>
        <v>100.00000000000001</v>
      </c>
      <c r="AM63" s="9" t="s">
        <v>460</v>
      </c>
      <c r="AN63" s="9" t="s">
        <v>512</v>
      </c>
      <c r="AO63" s="9"/>
      <c r="AP63" s="9"/>
      <c r="AQ63" s="9">
        <f>AVERAGE(55,10,35,100)</f>
        <v>50</v>
      </c>
      <c r="AR63" s="9" t="s">
        <v>767</v>
      </c>
      <c r="AS63" s="9">
        <v>50</v>
      </c>
      <c r="AT63" s="9" t="s">
        <v>768</v>
      </c>
      <c r="AU63" s="9"/>
      <c r="AV63" s="9"/>
      <c r="AW63" s="9"/>
      <c r="AX63" s="9">
        <v>500</v>
      </c>
      <c r="AY63" s="9" t="s">
        <v>1108</v>
      </c>
      <c r="AZ63" s="9" t="s">
        <v>1109</v>
      </c>
      <c r="BA63" s="17"/>
      <c r="BB63" s="17"/>
      <c r="BC63" s="17"/>
      <c r="BD63" s="17"/>
      <c r="BE63" s="17"/>
      <c r="BF63" s="16"/>
      <c r="BG63" s="17"/>
    </row>
    <row r="64" spans="1:59">
      <c r="A64" s="2" t="s">
        <v>63</v>
      </c>
      <c r="B64" s="2" t="s">
        <v>63</v>
      </c>
      <c r="C64" s="2" t="s">
        <v>63</v>
      </c>
      <c r="D64" s="2" t="s">
        <v>271</v>
      </c>
      <c r="E64" s="2" t="s">
        <v>272</v>
      </c>
      <c r="F64" s="2">
        <v>1</v>
      </c>
      <c r="G64" s="2">
        <f t="shared" si="28"/>
        <v>1.9792621194722007</v>
      </c>
      <c r="H64" s="2">
        <f t="shared" si="2"/>
        <v>3.568201724066995</v>
      </c>
      <c r="I64" s="2">
        <f>LOG(X64)</f>
        <v>0.93281186861163212</v>
      </c>
      <c r="J64" s="2">
        <f>LOG(Y64)</f>
        <v>1.6437815628948647</v>
      </c>
      <c r="K64" s="2">
        <f>LOG(AG64)</f>
        <v>0.96142109406644827</v>
      </c>
      <c r="L64" s="2">
        <f>LOG(AS64)</f>
        <v>1.420505836570779</v>
      </c>
      <c r="M64" s="2">
        <f>LOG(AX64)</f>
        <v>1.570348319900194</v>
      </c>
      <c r="N64" s="2">
        <v>1</v>
      </c>
      <c r="O64" s="12">
        <v>95.337140000000005</v>
      </c>
      <c r="P64" s="2">
        <v>1</v>
      </c>
      <c r="Q64" s="9" t="s">
        <v>305</v>
      </c>
      <c r="R64" s="9" t="s">
        <v>308</v>
      </c>
      <c r="S64" s="10">
        <v>3700</v>
      </c>
      <c r="T64" s="8">
        <v>1</v>
      </c>
      <c r="U64" s="2" t="s">
        <v>326</v>
      </c>
      <c r="V64" s="2" t="s">
        <v>336</v>
      </c>
      <c r="W64" s="2"/>
      <c r="X64" s="9">
        <f>AVERAGE(2.2,2.9,11.5,10.7,13.2,10.9)</f>
        <v>8.5666666666666664</v>
      </c>
      <c r="Y64" s="9">
        <f>AVERAGE(61.4,74.1,34.7,32.5,35.9,25.6)</f>
        <v>44.033333333333331</v>
      </c>
      <c r="Z64" s="9">
        <f>AVERAGE(18,5.8,42.1,44.5,34.1,46.5)</f>
        <v>31.833333333333332</v>
      </c>
      <c r="AA64" s="9">
        <f t="shared" si="30"/>
        <v>75.86666666666666</v>
      </c>
      <c r="AB64" s="9"/>
      <c r="AC64" s="9">
        <f>AVERAGE(1.9,1.9,3.3,6.3)</f>
        <v>3.3499999999999996</v>
      </c>
      <c r="AD64" s="2">
        <f>AB64+AC64</f>
        <v>3.3499999999999996</v>
      </c>
      <c r="AE64" s="9">
        <f>AA64+AD64</f>
        <v>79.216666666666654</v>
      </c>
      <c r="AF64" s="9">
        <f>AVERAGE(0.6,1.5,0.7,0.7,0.1,1.5)</f>
        <v>0.85</v>
      </c>
      <c r="AG64" s="9">
        <v>9.15</v>
      </c>
      <c r="AH64" s="9">
        <f>AVERAGE(2.5,1.4)</f>
        <v>1.95</v>
      </c>
      <c r="AI64" s="9"/>
      <c r="AJ64" s="12">
        <f>AG64+2.3</f>
        <v>11.45</v>
      </c>
      <c r="AK64" s="9">
        <v>0</v>
      </c>
      <c r="AL64" s="9">
        <f>SUM(X64+AA64+AD64+AF64+AJ64+AK64)-0.1</f>
        <v>99.98333333333332</v>
      </c>
      <c r="AM64" s="9" t="s">
        <v>482</v>
      </c>
      <c r="AN64" s="9" t="s">
        <v>513</v>
      </c>
      <c r="AO64" s="9"/>
      <c r="AP64" s="9"/>
      <c r="AQ64" s="9">
        <f>AVERAGE(27,21,31)</f>
        <v>26.333333333333332</v>
      </c>
      <c r="AR64" s="9" t="s">
        <v>769</v>
      </c>
      <c r="AS64" s="9">
        <v>26.333333333333332</v>
      </c>
      <c r="AT64" s="9" t="s">
        <v>770</v>
      </c>
      <c r="AU64" s="9"/>
      <c r="AV64" s="9"/>
      <c r="AW64" s="9"/>
      <c r="AX64" s="2">
        <v>37.18333333333333</v>
      </c>
      <c r="AY64" s="9" t="s">
        <v>1110</v>
      </c>
      <c r="AZ64" s="9" t="s">
        <v>770</v>
      </c>
      <c r="BA64" s="17"/>
      <c r="BB64" s="17"/>
      <c r="BC64" s="17"/>
      <c r="BD64" s="17"/>
      <c r="BE64" s="17"/>
      <c r="BF64" s="16"/>
      <c r="BG64" s="16"/>
    </row>
    <row r="65" spans="1:59">
      <c r="A65" s="2" t="s">
        <v>64</v>
      </c>
      <c r="B65" s="2" t="s">
        <v>64</v>
      </c>
      <c r="C65" s="2" t="s">
        <v>64</v>
      </c>
      <c r="D65" s="2" t="s">
        <v>271</v>
      </c>
      <c r="E65" s="2" t="s">
        <v>272</v>
      </c>
      <c r="F65" s="2">
        <v>1</v>
      </c>
      <c r="G65" s="2">
        <f t="shared" si="28"/>
        <v>1.9707267293597417</v>
      </c>
      <c r="H65" s="2">
        <f t="shared" si="2"/>
        <v>3.752624562626766</v>
      </c>
      <c r="J65" s="2">
        <f t="shared" ref="J65:J70" si="31">LOG(Y65)</f>
        <v>1.7781512503836436</v>
      </c>
      <c r="L65" s="2">
        <f>LOG(AS65)</f>
        <v>1.3291944150884512</v>
      </c>
      <c r="M65" s="2">
        <f>LOG(AX65)</f>
        <v>2.3496659840966299</v>
      </c>
      <c r="N65" s="2">
        <v>1</v>
      </c>
      <c r="O65" s="12">
        <v>93.481727500000005</v>
      </c>
      <c r="P65" s="2">
        <v>4</v>
      </c>
      <c r="Q65" s="9" t="s">
        <v>305</v>
      </c>
      <c r="R65" s="9" t="s">
        <v>308</v>
      </c>
      <c r="S65" s="8">
        <v>5657.5</v>
      </c>
      <c r="T65" s="10"/>
      <c r="U65" s="9" t="s">
        <v>305</v>
      </c>
      <c r="V65" s="15" t="s">
        <v>337</v>
      </c>
      <c r="W65" s="2"/>
      <c r="X65" s="2">
        <v>0</v>
      </c>
      <c r="Y65" s="2">
        <v>60</v>
      </c>
      <c r="Z65" s="2">
        <v>20</v>
      </c>
      <c r="AA65" s="2">
        <f t="shared" si="30"/>
        <v>80</v>
      </c>
      <c r="AK65" s="9">
        <v>20</v>
      </c>
      <c r="AL65" s="9">
        <f t="shared" ref="AL65:AL70" si="32">SUM(X65+AA65+AD65+AF65+AG65+AK65)</f>
        <v>100</v>
      </c>
      <c r="AM65" s="9" t="s">
        <v>460</v>
      </c>
      <c r="AN65" s="9" t="s">
        <v>514</v>
      </c>
      <c r="AQ65" s="2">
        <f>AVERAGE(19,32.5,18.5,19,17.7)</f>
        <v>21.34</v>
      </c>
      <c r="AR65" s="2" t="s">
        <v>771</v>
      </c>
      <c r="AS65" s="2">
        <v>21.34</v>
      </c>
      <c r="AT65" s="2" t="s">
        <v>772</v>
      </c>
      <c r="AX65" s="2">
        <v>223.7</v>
      </c>
      <c r="AY65" s="2" t="s">
        <v>1111</v>
      </c>
      <c r="AZ65" s="2" t="s">
        <v>1112</v>
      </c>
      <c r="BA65" s="16"/>
      <c r="BB65" s="16"/>
      <c r="BC65" s="16"/>
      <c r="BD65" s="16"/>
      <c r="BE65" s="16"/>
      <c r="BF65" s="16"/>
      <c r="BG65" s="16"/>
    </row>
    <row r="66" spans="1:59">
      <c r="A66" s="2" t="s">
        <v>65</v>
      </c>
      <c r="B66" s="2" t="s">
        <v>65</v>
      </c>
      <c r="C66" s="2" t="s">
        <v>65</v>
      </c>
      <c r="D66" s="2" t="s">
        <v>285</v>
      </c>
      <c r="E66" s="2" t="s">
        <v>272</v>
      </c>
      <c r="F66" s="2">
        <v>0</v>
      </c>
      <c r="G66" s="2">
        <f t="shared" si="28"/>
        <v>1.7534618474075025</v>
      </c>
      <c r="H66" s="2">
        <f t="shared" si="2"/>
        <v>3.4625477288026643</v>
      </c>
      <c r="I66" s="2">
        <f>LOG(X66)</f>
        <v>1.3623567926545359</v>
      </c>
      <c r="J66" s="2">
        <f t="shared" si="31"/>
        <v>1.6046579720478709</v>
      </c>
      <c r="K66" s="2">
        <f>LOG(AG66)</f>
        <v>1.4082399653118496</v>
      </c>
      <c r="L66" s="2">
        <f>LOG(AS66)</f>
        <v>1.466274321789292</v>
      </c>
      <c r="M66" s="2">
        <f>LOG(AX66)</f>
        <v>1.5314789170422551</v>
      </c>
      <c r="N66" s="2">
        <v>1</v>
      </c>
      <c r="O66" s="12">
        <v>56.684177251807839</v>
      </c>
      <c r="P66" s="2">
        <v>25</v>
      </c>
      <c r="Q66" s="9" t="s">
        <v>305</v>
      </c>
      <c r="R66" s="9" t="s">
        <v>308</v>
      </c>
      <c r="S66" s="8">
        <v>2901</v>
      </c>
      <c r="T66" s="10">
        <v>3</v>
      </c>
      <c r="U66" s="9" t="s">
        <v>305</v>
      </c>
      <c r="V66" s="9" t="s">
        <v>312</v>
      </c>
      <c r="W66" s="9" t="s">
        <v>311</v>
      </c>
      <c r="X66" s="9">
        <f>AVERAGE(25.1,21.4,22.6)</f>
        <v>23.033333333333331</v>
      </c>
      <c r="Y66" s="9">
        <f>AVERAGE(61.3,48.2,22.6,29.5,39.6)</f>
        <v>40.239999999999995</v>
      </c>
      <c r="Z66" s="9">
        <f>AVERAGE(0.4,0.2,12.2,0,5.7)</f>
        <v>3.7</v>
      </c>
      <c r="AA66" s="2">
        <f t="shared" si="30"/>
        <v>43.94</v>
      </c>
      <c r="AB66" s="9"/>
      <c r="AC66" s="9">
        <f>AVERAGE(2,8.4,7.5,7,0)</f>
        <v>4.9799999999999995</v>
      </c>
      <c r="AD66" s="2">
        <f>AB66+AC66</f>
        <v>4.9799999999999995</v>
      </c>
      <c r="AE66" s="9">
        <f>AA66+AD66</f>
        <v>48.919999999999995</v>
      </c>
      <c r="AF66" s="9">
        <f>AVERAGE(2.8,0)</f>
        <v>1.4</v>
      </c>
      <c r="AG66" s="9">
        <v>25.6</v>
      </c>
      <c r="AH66" s="9">
        <v>25</v>
      </c>
      <c r="AI66" s="9">
        <v>0.6</v>
      </c>
      <c r="AJ66" s="9">
        <f>AG66</f>
        <v>25.6</v>
      </c>
      <c r="AK66" s="9">
        <v>1</v>
      </c>
      <c r="AL66" s="9">
        <f t="shared" si="32"/>
        <v>99.953333333333347</v>
      </c>
      <c r="AM66" s="9" t="s">
        <v>458</v>
      </c>
      <c r="AN66" s="9" t="s">
        <v>515</v>
      </c>
      <c r="AO66" s="9"/>
      <c r="AP66" s="9"/>
      <c r="AQ66" s="14">
        <f>AVERAGE(15,47.5,25,26.3,32.5)</f>
        <v>29.26</v>
      </c>
      <c r="AR66" s="9" t="s">
        <v>773</v>
      </c>
      <c r="AS66" s="14">
        <v>29.26</v>
      </c>
      <c r="AT66" s="9" t="s">
        <v>774</v>
      </c>
      <c r="AU66" s="9"/>
      <c r="AV66" s="9"/>
      <c r="AW66" s="9"/>
      <c r="AX66" s="9">
        <v>34</v>
      </c>
      <c r="AY66" s="9" t="s">
        <v>1113</v>
      </c>
      <c r="AZ66" s="9" t="s">
        <v>1114</v>
      </c>
      <c r="BA66" s="17"/>
      <c r="BB66" s="17"/>
      <c r="BC66" s="17"/>
      <c r="BD66" s="17"/>
      <c r="BE66" s="17"/>
      <c r="BF66" s="16"/>
      <c r="BG66" s="17"/>
    </row>
    <row r="67" spans="1:59">
      <c r="A67" s="2" t="s">
        <v>66</v>
      </c>
      <c r="B67" s="2" t="s">
        <v>66</v>
      </c>
      <c r="C67" s="2" t="s">
        <v>66</v>
      </c>
      <c r="D67" s="2" t="s">
        <v>286</v>
      </c>
      <c r="E67" s="2" t="s">
        <v>272</v>
      </c>
      <c r="F67" s="2">
        <v>1</v>
      </c>
      <c r="G67" s="2">
        <f t="shared" si="28"/>
        <v>1.7329120641613638</v>
      </c>
      <c r="H67" s="2">
        <f t="shared" ref="H67:H130" si="33">LOG(S67)</f>
        <v>3.3739168325009534</v>
      </c>
      <c r="I67" s="2">
        <f>LOG(X67)</f>
        <v>1.3802112417116059</v>
      </c>
      <c r="J67" s="2">
        <f t="shared" si="31"/>
        <v>1.7923916894982539</v>
      </c>
      <c r="K67" s="2">
        <f>LOG(AG67)</f>
        <v>0.65321251377534373</v>
      </c>
      <c r="L67" s="2">
        <f>LOG(AS67)</f>
        <v>1.1687920203141817</v>
      </c>
      <c r="M67" s="2">
        <f>LOG(AX67)</f>
        <v>1.7745169657285496</v>
      </c>
      <c r="N67" s="2">
        <v>1</v>
      </c>
      <c r="O67" s="12">
        <v>54.064484222900759</v>
      </c>
      <c r="P67" s="2">
        <v>27</v>
      </c>
      <c r="Q67" s="9" t="s">
        <v>305</v>
      </c>
      <c r="R67" s="9" t="s">
        <v>308</v>
      </c>
      <c r="S67" s="8">
        <v>2365.4666666666667</v>
      </c>
      <c r="T67" s="10">
        <v>15</v>
      </c>
      <c r="U67" s="9" t="s">
        <v>305</v>
      </c>
      <c r="V67" s="9" t="s">
        <v>312</v>
      </c>
      <c r="W67" s="9" t="s">
        <v>311</v>
      </c>
      <c r="X67" s="9">
        <f>AVERAGE(15,33)</f>
        <v>24</v>
      </c>
      <c r="Y67" s="9">
        <f>AVERAGE(78,46)</f>
        <v>62</v>
      </c>
      <c r="Z67" s="9"/>
      <c r="AA67" s="2">
        <f t="shared" si="30"/>
        <v>62</v>
      </c>
      <c r="AB67" s="9"/>
      <c r="AC67" s="9">
        <f>AVERAGE(1)</f>
        <v>1</v>
      </c>
      <c r="AD67" s="2">
        <f>AB67+AC67</f>
        <v>1</v>
      </c>
      <c r="AE67" s="9">
        <f>AA67+AD67</f>
        <v>63</v>
      </c>
      <c r="AF67" s="9"/>
      <c r="AG67" s="9">
        <v>4.5</v>
      </c>
      <c r="AH67" s="9"/>
      <c r="AI67" s="9"/>
      <c r="AJ67" s="9">
        <f>AG67</f>
        <v>4.5</v>
      </c>
      <c r="AK67" s="9">
        <f>AVERAGE(6,12)-0.5</f>
        <v>8.5</v>
      </c>
      <c r="AL67" s="9">
        <f t="shared" si="32"/>
        <v>100</v>
      </c>
      <c r="AM67" s="9" t="s">
        <v>495</v>
      </c>
      <c r="AN67" s="9" t="s">
        <v>516</v>
      </c>
      <c r="AQ67" s="14">
        <f>AVERAGE(9,10,7,33)</f>
        <v>14.75</v>
      </c>
      <c r="AR67" s="9" t="s">
        <v>775</v>
      </c>
      <c r="AS67" s="14">
        <v>14.75</v>
      </c>
      <c r="AT67" s="9" t="s">
        <v>776</v>
      </c>
      <c r="AU67" s="9"/>
      <c r="AX67" s="9">
        <v>59.5</v>
      </c>
      <c r="AY67" s="9" t="s">
        <v>1115</v>
      </c>
      <c r="AZ67" s="9" t="s">
        <v>1116</v>
      </c>
      <c r="BA67" s="16"/>
      <c r="BB67" s="17"/>
      <c r="BC67" s="17"/>
      <c r="BD67" s="17"/>
      <c r="BE67" s="17"/>
      <c r="BF67" s="17"/>
      <c r="BG67" s="16"/>
    </row>
    <row r="68" spans="1:59">
      <c r="A68" s="2" t="s">
        <v>1346</v>
      </c>
      <c r="B68" s="2" t="s">
        <v>1389</v>
      </c>
      <c r="C68" s="2" t="s">
        <v>67</v>
      </c>
      <c r="D68" s="2" t="s">
        <v>286</v>
      </c>
      <c r="E68" s="2" t="s">
        <v>272</v>
      </c>
      <c r="F68" s="2" t="s">
        <v>1345</v>
      </c>
      <c r="G68" s="2">
        <f t="shared" si="28"/>
        <v>1.7091535436925847</v>
      </c>
      <c r="H68" s="2">
        <f t="shared" si="33"/>
        <v>3.3215984304653436</v>
      </c>
      <c r="J68" s="2">
        <f t="shared" si="31"/>
        <v>1.4471580313422192</v>
      </c>
      <c r="K68" s="2">
        <f>LOG(AG68)</f>
        <v>1.6720978579357175</v>
      </c>
      <c r="N68" s="2">
        <v>1</v>
      </c>
      <c r="O68" s="12">
        <v>51.186277131473418</v>
      </c>
      <c r="P68" s="2">
        <v>6</v>
      </c>
      <c r="Q68" s="9" t="s">
        <v>305</v>
      </c>
      <c r="R68" s="9" t="s">
        <v>308</v>
      </c>
      <c r="S68" s="8">
        <v>2097</v>
      </c>
      <c r="T68" s="10">
        <v>6</v>
      </c>
      <c r="U68" s="9" t="s">
        <v>305</v>
      </c>
      <c r="V68" s="9" t="s">
        <v>312</v>
      </c>
      <c r="W68" s="9"/>
      <c r="X68" s="9">
        <v>0</v>
      </c>
      <c r="Y68" s="9">
        <v>28</v>
      </c>
      <c r="Z68" s="9">
        <v>8</v>
      </c>
      <c r="AA68" s="2">
        <f t="shared" si="30"/>
        <v>36</v>
      </c>
      <c r="AB68" s="9"/>
      <c r="AC68" s="9">
        <v>9</v>
      </c>
      <c r="AD68" s="2">
        <f>AB68+AC68</f>
        <v>9</v>
      </c>
      <c r="AE68" s="9">
        <f>AA68+AD68</f>
        <v>45</v>
      </c>
      <c r="AF68" s="9"/>
      <c r="AG68" s="9">
        <v>47</v>
      </c>
      <c r="AH68" s="9"/>
      <c r="AI68" s="9"/>
      <c r="AJ68" s="9">
        <v>53</v>
      </c>
      <c r="AK68" s="9">
        <v>8</v>
      </c>
      <c r="AL68" s="9">
        <f t="shared" si="32"/>
        <v>100</v>
      </c>
      <c r="AM68" s="9" t="s">
        <v>517</v>
      </c>
      <c r="AN68" s="9" t="s">
        <v>518</v>
      </c>
      <c r="AQ68" s="14"/>
      <c r="AR68" s="9"/>
      <c r="AS68" s="14"/>
      <c r="AT68" s="9"/>
      <c r="AU68" s="9"/>
      <c r="AX68" s="9"/>
      <c r="AY68" s="9"/>
      <c r="AZ68" s="9"/>
      <c r="BA68" s="16"/>
      <c r="BB68" s="17"/>
      <c r="BC68" s="17"/>
      <c r="BD68" s="17"/>
      <c r="BE68" s="17"/>
      <c r="BF68" s="17"/>
      <c r="BG68" s="16"/>
    </row>
    <row r="69" spans="1:59">
      <c r="A69" s="2" t="s">
        <v>68</v>
      </c>
      <c r="B69" s="2" t="s">
        <v>68</v>
      </c>
      <c r="C69" s="2" t="s">
        <v>68</v>
      </c>
      <c r="D69" s="2" t="s">
        <v>285</v>
      </c>
      <c r="E69" s="2" t="s">
        <v>272</v>
      </c>
      <c r="F69" s="2">
        <v>0</v>
      </c>
      <c r="G69" s="2">
        <f t="shared" si="28"/>
        <v>1.7823132918029132</v>
      </c>
      <c r="H69" s="2">
        <f t="shared" si="33"/>
        <v>3.459392487759231</v>
      </c>
      <c r="I69" s="2">
        <f>LOG(X69)</f>
        <v>1.1445742076096164</v>
      </c>
      <c r="J69" s="2">
        <f t="shared" si="31"/>
        <v>1.8049567998574916</v>
      </c>
      <c r="K69" s="2">
        <f>LOG(AG69)</f>
        <v>1.0347621062592121</v>
      </c>
      <c r="L69" s="2">
        <f>LOG(AS69)</f>
        <v>0.98227123303956843</v>
      </c>
      <c r="M69" s="2">
        <f>LOG(AX69)</f>
        <v>1.8293037728310249</v>
      </c>
      <c r="N69" s="2">
        <v>1</v>
      </c>
      <c r="O69" s="12">
        <v>60.577771372549009</v>
      </c>
      <c r="P69" s="2">
        <v>17</v>
      </c>
      <c r="Q69" s="9" t="s">
        <v>305</v>
      </c>
      <c r="R69" s="9" t="s">
        <v>308</v>
      </c>
      <c r="S69" s="13">
        <v>2880</v>
      </c>
      <c r="T69" s="8">
        <v>10</v>
      </c>
      <c r="U69" s="9" t="s">
        <v>305</v>
      </c>
      <c r="V69" s="2" t="s">
        <v>306</v>
      </c>
      <c r="W69" s="2" t="s">
        <v>338</v>
      </c>
      <c r="X69" s="9">
        <f>AVERAGE(11,6.8,13,25)</f>
        <v>13.95</v>
      </c>
      <c r="Y69" s="9">
        <f>AVERAGE(78,67,80,62.1,74)-8.4</f>
        <v>63.82</v>
      </c>
      <c r="Z69" s="9">
        <f>AVERAGE(3.5,6.9)</f>
        <v>5.2</v>
      </c>
      <c r="AA69" s="2">
        <f t="shared" si="30"/>
        <v>69.02</v>
      </c>
      <c r="AB69" s="9"/>
      <c r="AC69" s="9">
        <f>AVERAGE(3.5,6.9)</f>
        <v>5.2</v>
      </c>
      <c r="AD69" s="2">
        <f>AB69+AC69</f>
        <v>5.2</v>
      </c>
      <c r="AE69" s="9">
        <f>AA69+AD69</f>
        <v>74.22</v>
      </c>
      <c r="AF69" s="9"/>
      <c r="AG69" s="9">
        <v>10.833333333333334</v>
      </c>
      <c r="AH69" s="9"/>
      <c r="AI69" s="9"/>
      <c r="AJ69" s="9">
        <f>AG69</f>
        <v>10.833333333333334</v>
      </c>
      <c r="AK69" s="9">
        <v>1</v>
      </c>
      <c r="AL69" s="9">
        <f t="shared" si="32"/>
        <v>100.00333333333333</v>
      </c>
      <c r="AM69" s="9" t="s">
        <v>519</v>
      </c>
      <c r="AN69" s="9" t="s">
        <v>520</v>
      </c>
      <c r="AO69" s="9"/>
      <c r="AP69" s="9"/>
      <c r="AQ69" s="14">
        <v>9.6</v>
      </c>
      <c r="AR69" s="9" t="s">
        <v>777</v>
      </c>
      <c r="AS69" s="14">
        <v>9.6</v>
      </c>
      <c r="AT69" s="9" t="s">
        <v>778</v>
      </c>
      <c r="AU69" s="9"/>
      <c r="AV69" s="9"/>
      <c r="AW69" s="9"/>
      <c r="AX69" s="9">
        <v>67.5</v>
      </c>
      <c r="AY69" s="9" t="s">
        <v>1117</v>
      </c>
      <c r="AZ69" s="9" t="s">
        <v>1118</v>
      </c>
      <c r="BA69" s="17"/>
      <c r="BB69" s="17"/>
      <c r="BC69" s="17"/>
      <c r="BD69" s="17"/>
      <c r="BE69" s="17"/>
      <c r="BF69" s="17"/>
      <c r="BG69" s="17"/>
    </row>
    <row r="70" spans="1:59">
      <c r="A70" s="2" t="s">
        <v>69</v>
      </c>
      <c r="B70" s="2" t="s">
        <v>69</v>
      </c>
      <c r="C70" s="2" t="s">
        <v>69</v>
      </c>
      <c r="D70" s="2" t="s">
        <v>287</v>
      </c>
      <c r="E70" s="2" t="s">
        <v>272</v>
      </c>
      <c r="F70" s="2">
        <v>0</v>
      </c>
      <c r="G70" s="2">
        <f t="shared" si="28"/>
        <v>1.7581004806618403</v>
      </c>
      <c r="H70" s="2">
        <f t="shared" si="33"/>
        <v>3.5910646070264991</v>
      </c>
      <c r="I70" s="2">
        <f>LOG(X70)</f>
        <v>1.4273237863572472</v>
      </c>
      <c r="J70" s="2">
        <f t="shared" si="31"/>
        <v>1.6319508262592171</v>
      </c>
      <c r="K70" s="2">
        <f>LOG(AG70)</f>
        <v>0.93826948346291139</v>
      </c>
      <c r="L70" s="2">
        <f>LOG(AS70)</f>
        <v>1.3502480183341627</v>
      </c>
      <c r="M70" s="2">
        <f>LOG(AX70)</f>
        <v>1.6989700043360187</v>
      </c>
      <c r="N70" s="2">
        <v>1</v>
      </c>
      <c r="O70" s="12">
        <v>57.292857142857137</v>
      </c>
      <c r="P70" s="2">
        <v>14</v>
      </c>
      <c r="Q70" s="9" t="s">
        <v>305</v>
      </c>
      <c r="R70" s="9" t="s">
        <v>308</v>
      </c>
      <c r="S70" s="13">
        <v>3900</v>
      </c>
      <c r="T70" s="8">
        <v>11</v>
      </c>
      <c r="U70" s="9" t="s">
        <v>305</v>
      </c>
      <c r="V70" s="2" t="s">
        <v>306</v>
      </c>
      <c r="W70" s="2" t="s">
        <v>335</v>
      </c>
      <c r="X70" s="9">
        <f>AVERAGE(25.2,26.5,30.8,24.5)</f>
        <v>26.75</v>
      </c>
      <c r="Y70" s="9">
        <f>AVERAGE(36.1, 70.9,33.5,32.5)-0.4</f>
        <v>42.85</v>
      </c>
      <c r="Z70" s="9">
        <f>AVERAGE(24.3,6.9,5.1)</f>
        <v>12.100000000000001</v>
      </c>
      <c r="AA70" s="2">
        <f t="shared" si="30"/>
        <v>54.95</v>
      </c>
      <c r="AB70" s="9"/>
      <c r="AC70" s="9">
        <f>AVERAGE(5.9,0.4,16.7,15.5)</f>
        <v>9.625</v>
      </c>
      <c r="AD70" s="2">
        <f>AB70+AC70</f>
        <v>9.625</v>
      </c>
      <c r="AE70" s="9">
        <f>AA70+AD70</f>
        <v>64.575000000000003</v>
      </c>
      <c r="AF70" s="9"/>
      <c r="AG70" s="9">
        <v>8.6750000000000007</v>
      </c>
      <c r="AH70" s="9"/>
      <c r="AI70" s="9"/>
      <c r="AJ70" s="9">
        <f>AG70</f>
        <v>8.6750000000000007</v>
      </c>
      <c r="AK70" s="9">
        <v>0</v>
      </c>
      <c r="AL70" s="9">
        <f t="shared" si="32"/>
        <v>100</v>
      </c>
      <c r="AM70" s="9" t="s">
        <v>521</v>
      </c>
      <c r="AN70" s="9" t="s">
        <v>522</v>
      </c>
      <c r="AQ70" s="14">
        <f>AVERAGE(20.2,20,27)</f>
        <v>22.400000000000002</v>
      </c>
      <c r="AR70" s="2" t="s">
        <v>779</v>
      </c>
      <c r="AS70" s="14">
        <v>22.400000000000002</v>
      </c>
      <c r="AT70" s="9" t="s">
        <v>780</v>
      </c>
      <c r="AU70" s="9"/>
      <c r="AX70" s="9">
        <v>50</v>
      </c>
      <c r="AY70" s="2" t="s">
        <v>1119</v>
      </c>
      <c r="AZ70" s="9" t="s">
        <v>1120</v>
      </c>
      <c r="BA70" s="16"/>
      <c r="BB70" s="16"/>
      <c r="BC70" s="16"/>
      <c r="BD70" s="16"/>
      <c r="BE70" s="16"/>
      <c r="BF70" s="16"/>
      <c r="BG70" s="16"/>
    </row>
    <row r="71" spans="1:59">
      <c r="A71" s="2" t="s">
        <v>70</v>
      </c>
      <c r="B71" s="2" t="s">
        <v>70</v>
      </c>
      <c r="C71" s="2" t="s">
        <v>70</v>
      </c>
      <c r="D71" s="2" t="s">
        <v>285</v>
      </c>
      <c r="E71" s="2" t="s">
        <v>272</v>
      </c>
      <c r="F71" s="2">
        <v>0</v>
      </c>
      <c r="H71" s="2">
        <f t="shared" si="33"/>
        <v>3.4623979978989561</v>
      </c>
      <c r="L71" s="2">
        <f>LOG(AS71)</f>
        <v>1.2304489213782739</v>
      </c>
      <c r="N71" s="2">
        <v>1</v>
      </c>
      <c r="O71" s="12"/>
      <c r="Q71" s="9"/>
      <c r="R71" s="9"/>
      <c r="S71" s="13">
        <v>2900</v>
      </c>
      <c r="T71" s="10"/>
      <c r="U71" s="9" t="s">
        <v>305</v>
      </c>
      <c r="V71" s="18" t="s">
        <v>339</v>
      </c>
      <c r="W71" s="18"/>
      <c r="AQ71" s="14"/>
      <c r="AR71" s="9" t="s">
        <v>781</v>
      </c>
      <c r="AS71" s="14">
        <v>17</v>
      </c>
      <c r="AT71" s="9" t="s">
        <v>782</v>
      </c>
      <c r="AU71" s="9"/>
      <c r="AX71" s="9"/>
      <c r="BA71" s="16"/>
      <c r="BB71" s="16"/>
      <c r="BC71" s="16"/>
      <c r="BD71" s="16"/>
      <c r="BE71" s="16"/>
      <c r="BF71" s="16"/>
      <c r="BG71" s="16"/>
    </row>
    <row r="72" spans="1:59">
      <c r="A72" s="2" t="s">
        <v>71</v>
      </c>
      <c r="B72" s="2" t="s">
        <v>71</v>
      </c>
      <c r="C72" s="2" t="s">
        <v>71</v>
      </c>
      <c r="D72" s="2" t="s">
        <v>288</v>
      </c>
      <c r="E72" s="2" t="s">
        <v>272</v>
      </c>
      <c r="F72" s="2">
        <v>0</v>
      </c>
      <c r="G72" s="2">
        <f t="shared" ref="G72:G86" si="34">LOG(O72)</f>
        <v>1.7914567171631808</v>
      </c>
      <c r="I72" s="2">
        <f t="shared" ref="I72:I81" si="35">LOG(X72)</f>
        <v>1.7745169657285496</v>
      </c>
      <c r="J72" s="2">
        <f t="shared" ref="J72:J81" si="36">LOG(Y72)</f>
        <v>1.0546130545568879</v>
      </c>
      <c r="K72" s="2">
        <f t="shared" ref="K72:K81" si="37">LOG(AG72)</f>
        <v>1.279552881150386</v>
      </c>
      <c r="N72" s="2">
        <v>1</v>
      </c>
      <c r="O72" s="12">
        <v>61.866666666666667</v>
      </c>
      <c r="P72" s="2">
        <v>3</v>
      </c>
      <c r="Q72" s="9" t="s">
        <v>305</v>
      </c>
      <c r="R72" s="9" t="s">
        <v>308</v>
      </c>
      <c r="S72" s="10"/>
      <c r="T72" s="10"/>
      <c r="U72" s="2"/>
      <c r="V72" s="2"/>
      <c r="W72" s="2"/>
      <c r="X72" s="9">
        <v>59.5</v>
      </c>
      <c r="Y72" s="2">
        <f>0.28*40.5</f>
        <v>11.340000000000002</v>
      </c>
      <c r="Z72" s="2">
        <f>0.08*40.5</f>
        <v>3.24</v>
      </c>
      <c r="AA72" s="2">
        <f t="shared" ref="AA72:AA81" si="38">Y72+Z72</f>
        <v>14.580000000000002</v>
      </c>
      <c r="AC72" s="2">
        <f>0.09*40.5</f>
        <v>3.645</v>
      </c>
      <c r="AD72" s="2">
        <f t="shared" ref="AD72:AD81" si="39">AB72+AC72</f>
        <v>3.645</v>
      </c>
      <c r="AE72" s="9">
        <f t="shared" ref="AE72:AE81" si="40">AA72+AD72</f>
        <v>18.225000000000001</v>
      </c>
      <c r="AG72" s="2">
        <v>19.035</v>
      </c>
      <c r="AJ72" s="9">
        <f t="shared" ref="AJ72:AJ81" si="41">AG72</f>
        <v>19.035</v>
      </c>
      <c r="AK72" s="2">
        <f>0.08*40.5</f>
        <v>3.24</v>
      </c>
      <c r="AL72" s="9">
        <f t="shared" ref="AL72:AL81" si="42">SUM(X72+AA72+AD72+AF72+AG72+AK72)</f>
        <v>99.999999999999986</v>
      </c>
      <c r="AM72" s="9" t="s">
        <v>460</v>
      </c>
      <c r="AN72" s="9" t="s">
        <v>523</v>
      </c>
      <c r="BA72" s="16"/>
      <c r="BB72" s="16"/>
      <c r="BC72" s="16"/>
      <c r="BD72" s="16"/>
      <c r="BE72" s="16"/>
      <c r="BF72" s="16"/>
      <c r="BG72" s="16"/>
    </row>
    <row r="73" spans="1:59">
      <c r="A73" s="2" t="s">
        <v>72</v>
      </c>
      <c r="B73" s="2" t="s">
        <v>72</v>
      </c>
      <c r="C73" s="2" t="s">
        <v>72</v>
      </c>
      <c r="D73" s="2" t="s">
        <v>289</v>
      </c>
      <c r="E73" s="2" t="s">
        <v>272</v>
      </c>
      <c r="F73" s="2">
        <v>1</v>
      </c>
      <c r="G73" s="2">
        <f t="shared" si="34"/>
        <v>1.8203806115604682</v>
      </c>
      <c r="H73" s="2">
        <f t="shared" si="33"/>
        <v>3.537819095073274</v>
      </c>
      <c r="I73" s="2">
        <f t="shared" si="35"/>
        <v>0.9809119377768436</v>
      </c>
      <c r="J73" s="2">
        <f t="shared" si="36"/>
        <v>1.4449031627954616</v>
      </c>
      <c r="K73" s="2">
        <f t="shared" si="37"/>
        <v>1.5435093064650267</v>
      </c>
      <c r="L73" s="2">
        <f t="shared" ref="L73:L80" si="43">LOG(AS73)</f>
        <v>1.4722687519252504</v>
      </c>
      <c r="M73" s="2">
        <f t="shared" ref="M73:M79" si="44">LOG(AX73)</f>
        <v>1.7123339658940002</v>
      </c>
      <c r="N73" s="2">
        <v>1</v>
      </c>
      <c r="O73" s="12">
        <v>66.127272727272739</v>
      </c>
      <c r="P73" s="2">
        <v>11</v>
      </c>
      <c r="Q73" s="9" t="s">
        <v>305</v>
      </c>
      <c r="R73" s="9" t="s">
        <v>308</v>
      </c>
      <c r="S73" s="13">
        <v>3450</v>
      </c>
      <c r="T73" s="8">
        <v>50</v>
      </c>
      <c r="U73" s="9" t="s">
        <v>305</v>
      </c>
      <c r="V73" s="2" t="s">
        <v>306</v>
      </c>
      <c r="W73" s="2" t="s">
        <v>341</v>
      </c>
      <c r="X73" s="9">
        <f>AVERAGE(8.8,10.34)</f>
        <v>9.57</v>
      </c>
      <c r="Y73" s="9">
        <f>AVERAGE(24.28,31.43)</f>
        <v>27.855</v>
      </c>
      <c r="Z73" s="9">
        <f>AVERAGE(17.7,3.18)</f>
        <v>10.44</v>
      </c>
      <c r="AA73" s="2">
        <f t="shared" si="38"/>
        <v>38.295000000000002</v>
      </c>
      <c r="AB73" s="9"/>
      <c r="AC73" s="9">
        <f>AVERAGE(3.97,5.72)</f>
        <v>4.8449999999999998</v>
      </c>
      <c r="AD73" s="2">
        <f t="shared" si="39"/>
        <v>4.8449999999999998</v>
      </c>
      <c r="AE73" s="9">
        <f t="shared" si="40"/>
        <v>43.14</v>
      </c>
      <c r="AF73" s="9"/>
      <c r="AG73" s="9">
        <v>34.954999999999998</v>
      </c>
      <c r="AH73" s="9">
        <v>8</v>
      </c>
      <c r="AI73" s="9"/>
      <c r="AJ73" s="9">
        <f t="shared" si="41"/>
        <v>34.954999999999998</v>
      </c>
      <c r="AK73" s="9">
        <f>SUM(9.8,2.5)</f>
        <v>12.3</v>
      </c>
      <c r="AL73" s="9">
        <f t="shared" si="42"/>
        <v>99.964999999999989</v>
      </c>
      <c r="AM73" s="9" t="s">
        <v>495</v>
      </c>
      <c r="AN73" s="9" t="s">
        <v>524</v>
      </c>
      <c r="AQ73" s="14">
        <f>AVERAGE(29,37,23)</f>
        <v>29.666666666666668</v>
      </c>
      <c r="AR73" s="9" t="s">
        <v>783</v>
      </c>
      <c r="AS73" s="14">
        <v>29.666666666666668</v>
      </c>
      <c r="AT73" s="9" t="s">
        <v>784</v>
      </c>
      <c r="AU73" s="9"/>
      <c r="AX73" s="9">
        <v>51.5625</v>
      </c>
      <c r="AY73" s="9" t="s">
        <v>1121</v>
      </c>
      <c r="AZ73" s="9" t="s">
        <v>784</v>
      </c>
      <c r="BA73" s="16"/>
      <c r="BB73" s="16"/>
      <c r="BC73" s="16"/>
      <c r="BD73" s="16"/>
      <c r="BE73" s="16"/>
      <c r="BF73" s="16"/>
      <c r="BG73" s="16"/>
    </row>
    <row r="74" spans="1:59">
      <c r="A74" s="2" t="s">
        <v>73</v>
      </c>
      <c r="B74" s="2" t="s">
        <v>73</v>
      </c>
      <c r="C74" s="2" t="s">
        <v>73</v>
      </c>
      <c r="D74" s="2" t="s">
        <v>290</v>
      </c>
      <c r="E74" s="2" t="s">
        <v>272</v>
      </c>
      <c r="F74" s="2">
        <v>0</v>
      </c>
      <c r="G74" s="2">
        <f t="shared" si="34"/>
        <v>1.8170574697908608</v>
      </c>
      <c r="H74" s="2">
        <f t="shared" si="33"/>
        <v>3.5943925503754266</v>
      </c>
      <c r="I74" s="2">
        <f t="shared" si="35"/>
        <v>1.2423284170220286</v>
      </c>
      <c r="J74" s="2">
        <f t="shared" si="36"/>
        <v>1.6989700043360187</v>
      </c>
      <c r="K74" s="2">
        <f t="shared" si="37"/>
        <v>1.2507248773525854</v>
      </c>
      <c r="L74" s="2">
        <f t="shared" si="43"/>
        <v>1.4273237863572472</v>
      </c>
      <c r="M74" s="2">
        <f t="shared" si="44"/>
        <v>1.6857417386022637</v>
      </c>
      <c r="N74" s="2">
        <v>1</v>
      </c>
      <c r="O74" s="12">
        <v>65.623209914992017</v>
      </c>
      <c r="P74" s="2">
        <v>57</v>
      </c>
      <c r="Q74" s="9" t="s">
        <v>305</v>
      </c>
      <c r="R74" s="9" t="s">
        <v>308</v>
      </c>
      <c r="S74" s="8">
        <v>3930</v>
      </c>
      <c r="T74" s="10">
        <v>41</v>
      </c>
      <c r="U74" s="9" t="s">
        <v>305</v>
      </c>
      <c r="V74" s="2" t="s">
        <v>342</v>
      </c>
      <c r="W74" s="9" t="s">
        <v>343</v>
      </c>
      <c r="X74" s="9">
        <f>AVERAGE(16.8,24.9,6,1,0,37.7,35.9)</f>
        <v>17.471428571428572</v>
      </c>
      <c r="Y74" s="9">
        <f>AVERAGE(54.6,43.5,47.4,57,53.5,91,27.7,30.1)-0.6</f>
        <v>50</v>
      </c>
      <c r="Z74" s="9">
        <f>AVERAGE(2.5,20.5,9.3,0,0)</f>
        <v>6.4599999999999991</v>
      </c>
      <c r="AA74" s="2">
        <f t="shared" si="38"/>
        <v>56.46</v>
      </c>
      <c r="AB74" s="9"/>
      <c r="AC74" s="9">
        <f>AVERAGE(3.7,6.2,13,10.2,2,6.9,9.8)</f>
        <v>7.3999999999999995</v>
      </c>
      <c r="AD74" s="2">
        <f t="shared" si="39"/>
        <v>7.3999999999999995</v>
      </c>
      <c r="AE74" s="9">
        <f t="shared" si="40"/>
        <v>63.86</v>
      </c>
      <c r="AF74" s="9">
        <f>AVERAGE(1.9,0,0,0,0)</f>
        <v>0.38</v>
      </c>
      <c r="AG74" s="9">
        <v>17.8125</v>
      </c>
      <c r="AH74" s="9">
        <v>10</v>
      </c>
      <c r="AI74" s="9">
        <v>7.8</v>
      </c>
      <c r="AJ74" s="9">
        <f t="shared" si="41"/>
        <v>17.8125</v>
      </c>
      <c r="AK74" s="9">
        <v>0.5</v>
      </c>
      <c r="AL74" s="9">
        <f t="shared" si="42"/>
        <v>100.02392857142857</v>
      </c>
      <c r="AM74" s="9" t="s">
        <v>458</v>
      </c>
      <c r="AN74" s="9" t="s">
        <v>525</v>
      </c>
      <c r="AQ74" s="14">
        <f>AVERAGE(15,28,16,25,30,18,17,45,27)</f>
        <v>24.555555555555557</v>
      </c>
      <c r="AR74" s="2" t="s">
        <v>785</v>
      </c>
      <c r="AS74" s="14">
        <v>26.75</v>
      </c>
      <c r="AT74" s="2" t="s">
        <v>786</v>
      </c>
      <c r="AX74" s="9">
        <v>48.5</v>
      </c>
      <c r="AY74" s="2" t="s">
        <v>1122</v>
      </c>
      <c r="AZ74" s="2" t="s">
        <v>786</v>
      </c>
      <c r="BA74" s="16"/>
      <c r="BB74" s="16"/>
      <c r="BC74" s="16"/>
      <c r="BD74" s="16"/>
      <c r="BE74" s="16"/>
      <c r="BF74" s="16"/>
      <c r="BG74" s="16"/>
    </row>
    <row r="75" spans="1:59">
      <c r="A75" s="2" t="s">
        <v>74</v>
      </c>
      <c r="B75" s="2" t="s">
        <v>74</v>
      </c>
      <c r="C75" s="2" t="s">
        <v>74</v>
      </c>
      <c r="D75" s="2" t="s">
        <v>286</v>
      </c>
      <c r="E75" s="2" t="s">
        <v>272</v>
      </c>
      <c r="F75" s="2">
        <v>0</v>
      </c>
      <c r="G75" s="2">
        <f t="shared" si="34"/>
        <v>1.7520484478194385</v>
      </c>
      <c r="H75" s="2">
        <f t="shared" si="33"/>
        <v>3.5051499783199058</v>
      </c>
      <c r="I75" s="2">
        <f t="shared" si="35"/>
        <v>0.9956351945975499</v>
      </c>
      <c r="J75" s="2">
        <f t="shared" si="36"/>
        <v>1.6201360549737576</v>
      </c>
      <c r="K75" s="2">
        <f t="shared" si="37"/>
        <v>1.1335389083702174</v>
      </c>
      <c r="L75" s="2">
        <f t="shared" si="43"/>
        <v>1.3873898263387294</v>
      </c>
      <c r="M75" s="2">
        <f t="shared" si="44"/>
        <v>1.7958800173440752</v>
      </c>
      <c r="N75" s="2">
        <v>1</v>
      </c>
      <c r="O75" s="12">
        <v>56.5</v>
      </c>
      <c r="P75" s="2">
        <v>9</v>
      </c>
      <c r="Q75" s="9" t="s">
        <v>305</v>
      </c>
      <c r="R75" s="9" t="s">
        <v>308</v>
      </c>
      <c r="S75" s="13">
        <v>3200</v>
      </c>
      <c r="T75" s="8">
        <v>4</v>
      </c>
      <c r="U75" s="9" t="s">
        <v>305</v>
      </c>
      <c r="V75" s="15" t="s">
        <v>344</v>
      </c>
      <c r="W75" s="2"/>
      <c r="X75" s="2">
        <v>9.9</v>
      </c>
      <c r="Y75" s="2">
        <v>41.7</v>
      </c>
      <c r="Z75" s="2">
        <v>22</v>
      </c>
      <c r="AA75" s="2">
        <f t="shared" si="38"/>
        <v>63.7</v>
      </c>
      <c r="AC75" s="2">
        <v>11.7</v>
      </c>
      <c r="AD75" s="2">
        <f t="shared" si="39"/>
        <v>11.7</v>
      </c>
      <c r="AE75" s="9">
        <f t="shared" si="40"/>
        <v>75.400000000000006</v>
      </c>
      <c r="AG75" s="2">
        <v>13.6</v>
      </c>
      <c r="AJ75" s="9">
        <f t="shared" si="41"/>
        <v>13.6</v>
      </c>
      <c r="AK75" s="2">
        <v>1.1000000000000001</v>
      </c>
      <c r="AL75" s="9">
        <f t="shared" si="42"/>
        <v>100</v>
      </c>
      <c r="AM75" s="9" t="s">
        <v>460</v>
      </c>
      <c r="AN75" s="9" t="s">
        <v>526</v>
      </c>
      <c r="AQ75" s="14">
        <f>AVERAGE(25,18,19,47,13)</f>
        <v>24.4</v>
      </c>
      <c r="AR75" s="2" t="s">
        <v>787</v>
      </c>
      <c r="AS75" s="14">
        <v>24.4</v>
      </c>
      <c r="AT75" s="2" t="s">
        <v>786</v>
      </c>
      <c r="AX75" s="9">
        <v>62.5</v>
      </c>
      <c r="AY75" s="2" t="s">
        <v>1123</v>
      </c>
      <c r="AZ75" s="2" t="s">
        <v>1124</v>
      </c>
      <c r="BA75" s="16"/>
      <c r="BB75" s="16"/>
      <c r="BC75" s="16"/>
      <c r="BD75" s="16"/>
      <c r="BE75" s="16"/>
      <c r="BF75" s="16"/>
      <c r="BG75" s="16"/>
    </row>
    <row r="76" spans="1:59">
      <c r="A76" s="2" t="s">
        <v>75</v>
      </c>
      <c r="B76" s="2" t="s">
        <v>75</v>
      </c>
      <c r="C76" s="2" t="s">
        <v>75</v>
      </c>
      <c r="D76" s="2" t="s">
        <v>291</v>
      </c>
      <c r="E76" s="2" t="s">
        <v>272</v>
      </c>
      <c r="F76" s="2">
        <v>1</v>
      </c>
      <c r="G76" s="2">
        <f t="shared" si="34"/>
        <v>1.7843446621684882</v>
      </c>
      <c r="H76" s="2">
        <f t="shared" si="33"/>
        <v>3.5502283530550942</v>
      </c>
      <c r="I76" s="2">
        <f t="shared" si="35"/>
        <v>0.87215627274829277</v>
      </c>
      <c r="J76" s="2">
        <f t="shared" si="36"/>
        <v>1.7058637122839193</v>
      </c>
      <c r="K76" s="2">
        <f t="shared" si="37"/>
        <v>1.3138672203691535</v>
      </c>
      <c r="L76" s="2">
        <f t="shared" si="43"/>
        <v>1.0136796972911926</v>
      </c>
      <c r="M76" s="2">
        <f t="shared" si="44"/>
        <v>0.87506126339170009</v>
      </c>
      <c r="N76" s="2">
        <v>1</v>
      </c>
      <c r="O76" s="9">
        <v>60.861781727157513</v>
      </c>
      <c r="P76" s="2">
        <v>12</v>
      </c>
      <c r="Q76" s="9" t="s">
        <v>305</v>
      </c>
      <c r="R76" s="9" t="s">
        <v>306</v>
      </c>
      <c r="S76" s="13">
        <v>3550</v>
      </c>
      <c r="T76" s="8">
        <v>3</v>
      </c>
      <c r="U76" s="9" t="s">
        <v>305</v>
      </c>
      <c r="V76" s="15" t="s">
        <v>345</v>
      </c>
      <c r="W76" s="2"/>
      <c r="X76" s="9">
        <f>AVERAGE(4.7,10.2)</f>
        <v>7.4499999999999993</v>
      </c>
      <c r="Y76" s="9">
        <f>AVERAGE(74.4,33.3,44.7)</f>
        <v>50.800000000000004</v>
      </c>
      <c r="Z76" s="9">
        <v>1.2</v>
      </c>
      <c r="AA76" s="2">
        <f t="shared" si="38"/>
        <v>52.000000000000007</v>
      </c>
      <c r="AB76" s="9"/>
      <c r="AC76" s="2">
        <f>AVERAGE(3,5.5)</f>
        <v>4.25</v>
      </c>
      <c r="AD76" s="2">
        <f t="shared" si="39"/>
        <v>4.25</v>
      </c>
      <c r="AE76" s="9">
        <f t="shared" si="40"/>
        <v>56.250000000000007</v>
      </c>
      <c r="AF76" s="9">
        <v>1.1000000000000001</v>
      </c>
      <c r="AG76" s="9">
        <v>20.6</v>
      </c>
      <c r="AH76" s="9">
        <v>19.5</v>
      </c>
      <c r="AI76" s="9">
        <v>12.6</v>
      </c>
      <c r="AJ76" s="9">
        <f t="shared" si="41"/>
        <v>20.6</v>
      </c>
      <c r="AK76" s="9">
        <f>8.8+5.8</f>
        <v>14.600000000000001</v>
      </c>
      <c r="AL76" s="9">
        <f t="shared" si="42"/>
        <v>100</v>
      </c>
      <c r="AM76" s="9" t="s">
        <v>495</v>
      </c>
      <c r="AN76" s="9" t="s">
        <v>527</v>
      </c>
      <c r="AO76" s="9"/>
      <c r="AP76" s="9"/>
      <c r="AQ76" s="14">
        <f>AVERAGE(11,13.3,3.8,15,8.5)</f>
        <v>10.32</v>
      </c>
      <c r="AR76" s="9" t="s">
        <v>788</v>
      </c>
      <c r="AS76" s="14">
        <v>10.32</v>
      </c>
      <c r="AT76" s="9" t="s">
        <v>786</v>
      </c>
      <c r="AU76" s="9"/>
      <c r="AV76" s="9"/>
      <c r="AW76" s="9"/>
      <c r="AX76" s="9">
        <v>7.5</v>
      </c>
      <c r="AY76" s="9" t="s">
        <v>1015</v>
      </c>
      <c r="AZ76" s="9" t="s">
        <v>1125</v>
      </c>
      <c r="BA76" s="17"/>
      <c r="BB76" s="17"/>
      <c r="BC76" s="17"/>
      <c r="BD76" s="17"/>
      <c r="BE76" s="17"/>
      <c r="BF76" s="16"/>
      <c r="BG76" s="17"/>
    </row>
    <row r="77" spans="1:59">
      <c r="A77" s="2" t="s">
        <v>76</v>
      </c>
      <c r="B77" s="2" t="s">
        <v>76</v>
      </c>
      <c r="C77" s="2" t="s">
        <v>76</v>
      </c>
      <c r="D77" s="2" t="s">
        <v>290</v>
      </c>
      <c r="E77" s="2" t="s">
        <v>272</v>
      </c>
      <c r="F77" s="2">
        <v>0</v>
      </c>
      <c r="G77" s="2">
        <f t="shared" si="34"/>
        <v>1.8314206937845725</v>
      </c>
      <c r="H77" s="2">
        <f t="shared" si="33"/>
        <v>3.6294095991027189</v>
      </c>
      <c r="I77" s="2">
        <f t="shared" si="35"/>
        <v>0.95424250943932487</v>
      </c>
      <c r="J77" s="2">
        <f t="shared" si="36"/>
        <v>1.7191240359743518</v>
      </c>
      <c r="K77" s="2">
        <f t="shared" si="37"/>
        <v>1.1782573208121889</v>
      </c>
      <c r="L77" s="2">
        <f t="shared" si="43"/>
        <v>1.446226401778163</v>
      </c>
      <c r="M77" s="2">
        <f t="shared" si="44"/>
        <v>2.1254812657005941</v>
      </c>
      <c r="N77" s="2">
        <v>1</v>
      </c>
      <c r="O77" s="12">
        <v>67.829824561403512</v>
      </c>
      <c r="P77" s="2">
        <v>19</v>
      </c>
      <c r="Q77" s="9" t="s">
        <v>305</v>
      </c>
      <c r="R77" s="9" t="s">
        <v>308</v>
      </c>
      <c r="S77" s="13">
        <v>4260</v>
      </c>
      <c r="T77" s="13">
        <v>30</v>
      </c>
      <c r="U77" s="9" t="s">
        <v>305</v>
      </c>
      <c r="V77" s="2" t="s">
        <v>306</v>
      </c>
      <c r="W77" s="2" t="s">
        <v>307</v>
      </c>
      <c r="X77" s="9">
        <f>AVERAGE(9,3,24,0)</f>
        <v>9</v>
      </c>
      <c r="Y77" s="9">
        <f>AVERAGE(71,59,44,35.5)</f>
        <v>52.375</v>
      </c>
      <c r="Z77" s="9">
        <f>AVERAGE(0,11,4,50.2)</f>
        <v>16.3</v>
      </c>
      <c r="AA77" s="2">
        <f t="shared" si="38"/>
        <v>68.674999999999997</v>
      </c>
      <c r="AB77" s="9"/>
      <c r="AC77" s="9">
        <f>AVERAGE(1,10,9,4.1)</f>
        <v>6.0250000000000004</v>
      </c>
      <c r="AD77" s="2">
        <f t="shared" si="39"/>
        <v>6.0250000000000004</v>
      </c>
      <c r="AE77" s="9">
        <f t="shared" si="40"/>
        <v>74.7</v>
      </c>
      <c r="AG77" s="9">
        <v>15.074999999999999</v>
      </c>
      <c r="AH77" s="9"/>
      <c r="AI77" s="9">
        <v>0.1</v>
      </c>
      <c r="AJ77" s="9">
        <f t="shared" si="41"/>
        <v>15.074999999999999</v>
      </c>
      <c r="AK77" s="9">
        <v>1.2</v>
      </c>
      <c r="AL77" s="9">
        <f t="shared" si="42"/>
        <v>99.975000000000009</v>
      </c>
      <c r="AM77" s="9" t="s">
        <v>458</v>
      </c>
      <c r="AN77" s="9" t="s">
        <v>459</v>
      </c>
      <c r="AQ77" s="14">
        <f>AVERAGE(38,53,11.2,20,17.5)</f>
        <v>27.939999999999998</v>
      </c>
      <c r="AR77" s="2" t="s">
        <v>789</v>
      </c>
      <c r="AS77" s="14">
        <v>27.939999999999998</v>
      </c>
      <c r="AT77" s="9" t="s">
        <v>786</v>
      </c>
      <c r="AU77" s="9"/>
      <c r="AX77" s="9">
        <v>133.5</v>
      </c>
      <c r="AY77" s="2" t="s">
        <v>1126</v>
      </c>
      <c r="AZ77" s="2" t="s">
        <v>1127</v>
      </c>
      <c r="BA77" s="16"/>
      <c r="BB77" s="16"/>
      <c r="BC77" s="16"/>
      <c r="BD77" s="16"/>
      <c r="BE77" s="16"/>
      <c r="BF77" s="16"/>
      <c r="BG77" s="16"/>
    </row>
    <row r="78" spans="1:59">
      <c r="A78" s="2" t="s">
        <v>77</v>
      </c>
      <c r="B78" s="2" t="s">
        <v>77</v>
      </c>
      <c r="C78" s="2" t="s">
        <v>77</v>
      </c>
      <c r="D78" s="2" t="s">
        <v>285</v>
      </c>
      <c r="E78" s="2" t="s">
        <v>272</v>
      </c>
      <c r="F78" s="2">
        <v>0</v>
      </c>
      <c r="G78" s="2">
        <f t="shared" si="34"/>
        <v>1.7222083869158014</v>
      </c>
      <c r="H78" s="2">
        <f t="shared" si="33"/>
        <v>3.465112347246647</v>
      </c>
      <c r="I78" s="2">
        <f t="shared" si="35"/>
        <v>0.98452731334379262</v>
      </c>
      <c r="J78" s="2">
        <f t="shared" si="36"/>
        <v>1.7446840632768863</v>
      </c>
      <c r="K78" s="2">
        <f t="shared" si="37"/>
        <v>1.3569814009931311</v>
      </c>
      <c r="L78" s="2">
        <f t="shared" si="43"/>
        <v>1.0253058652647702</v>
      </c>
      <c r="M78" s="2">
        <f t="shared" si="44"/>
        <v>1.8333065152846988</v>
      </c>
      <c r="N78" s="2">
        <v>1</v>
      </c>
      <c r="O78" s="12">
        <v>52.748290209543924</v>
      </c>
      <c r="P78" s="2">
        <v>28</v>
      </c>
      <c r="Q78" s="9" t="s">
        <v>305</v>
      </c>
      <c r="R78" s="9" t="s">
        <v>308</v>
      </c>
      <c r="S78" s="8">
        <v>2918.181818181818</v>
      </c>
      <c r="T78" s="10">
        <v>11</v>
      </c>
      <c r="U78" s="9" t="s">
        <v>305</v>
      </c>
      <c r="V78" s="9" t="s">
        <v>312</v>
      </c>
      <c r="W78" s="9" t="s">
        <v>311</v>
      </c>
      <c r="X78" s="9">
        <f>AVERAGE(7.3,12)</f>
        <v>9.65</v>
      </c>
      <c r="Y78" s="9">
        <f>AVERAGE(77.1,34)</f>
        <v>55.55</v>
      </c>
      <c r="Z78" s="9"/>
      <c r="AA78" s="2">
        <f t="shared" si="38"/>
        <v>55.55</v>
      </c>
      <c r="AB78" s="9"/>
      <c r="AC78" s="9">
        <v>6</v>
      </c>
      <c r="AD78" s="2">
        <f t="shared" si="39"/>
        <v>6</v>
      </c>
      <c r="AE78" s="9">
        <f t="shared" si="40"/>
        <v>61.55</v>
      </c>
      <c r="AF78" s="9"/>
      <c r="AG78" s="9">
        <v>22.75</v>
      </c>
      <c r="AH78" s="9"/>
      <c r="AI78" s="9"/>
      <c r="AJ78" s="9">
        <f t="shared" si="41"/>
        <v>22.75</v>
      </c>
      <c r="AK78" s="9">
        <v>6</v>
      </c>
      <c r="AL78" s="9">
        <f t="shared" si="42"/>
        <v>99.95</v>
      </c>
      <c r="AM78" s="9" t="s">
        <v>495</v>
      </c>
      <c r="AN78" s="9" t="s">
        <v>528</v>
      </c>
      <c r="AQ78" s="14">
        <f>AVERAGE(7,8,11,11,16)</f>
        <v>10.6</v>
      </c>
      <c r="AR78" s="2" t="s">
        <v>790</v>
      </c>
      <c r="AS78" s="14">
        <v>10.6</v>
      </c>
      <c r="AT78" s="9" t="s">
        <v>786</v>
      </c>
      <c r="AU78" s="9"/>
      <c r="AX78" s="9">
        <v>68.125</v>
      </c>
      <c r="AY78" s="2" t="s">
        <v>1128</v>
      </c>
      <c r="AZ78" s="9" t="s">
        <v>786</v>
      </c>
      <c r="BA78" s="16"/>
      <c r="BB78" s="16"/>
      <c r="BC78" s="16"/>
      <c r="BD78" s="16"/>
      <c r="BE78" s="16"/>
      <c r="BF78" s="16"/>
      <c r="BG78" s="16"/>
    </row>
    <row r="79" spans="1:59">
      <c r="A79" s="2" t="s">
        <v>78</v>
      </c>
      <c r="B79" s="2" t="s">
        <v>78</v>
      </c>
      <c r="C79" s="2" t="s">
        <v>78</v>
      </c>
      <c r="D79" s="2" t="s">
        <v>286</v>
      </c>
      <c r="E79" s="2" t="s">
        <v>272</v>
      </c>
      <c r="F79" s="2">
        <v>0</v>
      </c>
      <c r="G79" s="2">
        <f t="shared" si="34"/>
        <v>1.760374608817872</v>
      </c>
      <c r="H79" s="2">
        <f t="shared" si="33"/>
        <v>3.4683473304121573</v>
      </c>
      <c r="I79" s="2">
        <f t="shared" si="35"/>
        <v>0.88460658129793046</v>
      </c>
      <c r="J79" s="2">
        <f t="shared" si="36"/>
        <v>1.6970112686994472</v>
      </c>
      <c r="K79" s="2">
        <f t="shared" si="37"/>
        <v>1.1020905255118367</v>
      </c>
      <c r="L79" s="2">
        <f t="shared" si="43"/>
        <v>1.3085644135612389</v>
      </c>
      <c r="M79" s="2">
        <f t="shared" si="44"/>
        <v>1.8893017025063104</v>
      </c>
      <c r="N79" s="2">
        <v>1</v>
      </c>
      <c r="O79" s="12">
        <v>57.593650793650795</v>
      </c>
      <c r="P79" s="2">
        <v>21</v>
      </c>
      <c r="Q79" s="9" t="s">
        <v>305</v>
      </c>
      <c r="R79" s="9" t="s">
        <v>308</v>
      </c>
      <c r="S79" s="8">
        <v>2940</v>
      </c>
      <c r="T79" s="10">
        <v>10</v>
      </c>
      <c r="U79" s="9" t="s">
        <v>305</v>
      </c>
      <c r="V79" s="2" t="s">
        <v>306</v>
      </c>
      <c r="W79" s="2" t="s">
        <v>346</v>
      </c>
      <c r="X79" s="9">
        <f>AVERAGE(16,7,0)</f>
        <v>7.666666666666667</v>
      </c>
      <c r="Y79" s="9">
        <f>AVERAGE(80,69,26.9,32)-2.2</f>
        <v>49.774999999999999</v>
      </c>
      <c r="Z79" s="9">
        <f>AVERAGE(3,9,55,27)</f>
        <v>23.5</v>
      </c>
      <c r="AA79" s="2">
        <f t="shared" si="38"/>
        <v>73.275000000000006</v>
      </c>
      <c r="AB79" s="9"/>
      <c r="AC79" s="9">
        <f>AVERAGE(1,9,4.7,11)</f>
        <v>6.4249999999999998</v>
      </c>
      <c r="AD79" s="2">
        <f t="shared" si="39"/>
        <v>6.4249999999999998</v>
      </c>
      <c r="AE79" s="9">
        <f t="shared" si="40"/>
        <v>79.7</v>
      </c>
      <c r="AG79" s="9">
        <v>12.65</v>
      </c>
      <c r="AH79" s="9"/>
      <c r="AI79" s="9"/>
      <c r="AJ79" s="9">
        <f t="shared" si="41"/>
        <v>12.65</v>
      </c>
      <c r="AK79" s="9">
        <v>0</v>
      </c>
      <c r="AL79" s="9">
        <f t="shared" si="42"/>
        <v>100.01666666666668</v>
      </c>
      <c r="AM79" s="9" t="s">
        <v>521</v>
      </c>
      <c r="AN79" s="9" t="s">
        <v>529</v>
      </c>
      <c r="AQ79" s="14">
        <f>AVERAGE(20,10.1,38,13.3)</f>
        <v>20.349999999999998</v>
      </c>
      <c r="AR79" s="2" t="s">
        <v>791</v>
      </c>
      <c r="AS79" s="14">
        <v>20.349999999999998</v>
      </c>
      <c r="AT79" s="9" t="s">
        <v>786</v>
      </c>
      <c r="AU79" s="9"/>
      <c r="AX79" s="9">
        <v>77.5</v>
      </c>
      <c r="AY79" s="2" t="s">
        <v>1129</v>
      </c>
      <c r="AZ79" s="2" t="s">
        <v>1130</v>
      </c>
      <c r="BA79" s="16"/>
      <c r="BB79" s="16"/>
      <c r="BC79" s="16"/>
      <c r="BD79" s="16"/>
      <c r="BE79" s="16"/>
      <c r="BF79" s="16"/>
      <c r="BG79" s="16"/>
    </row>
    <row r="80" spans="1:59">
      <c r="A80" s="2" t="s">
        <v>1347</v>
      </c>
      <c r="B80" s="2" t="s">
        <v>1390</v>
      </c>
      <c r="C80" s="2" t="s">
        <v>79</v>
      </c>
      <c r="D80" s="2" t="s">
        <v>286</v>
      </c>
      <c r="E80" s="2" t="s">
        <v>272</v>
      </c>
      <c r="F80" s="2">
        <v>0</v>
      </c>
      <c r="G80" s="2">
        <f t="shared" si="34"/>
        <v>1.7283537820212285</v>
      </c>
      <c r="H80" s="2">
        <f t="shared" si="33"/>
        <v>3.4578818967339924</v>
      </c>
      <c r="I80" s="2">
        <f t="shared" si="35"/>
        <v>1</v>
      </c>
      <c r="J80" s="2">
        <f t="shared" si="36"/>
        <v>1.5432400279280454</v>
      </c>
      <c r="K80" s="2">
        <f t="shared" si="37"/>
        <v>1.3379581636797009</v>
      </c>
      <c r="L80" s="2">
        <f t="shared" si="43"/>
        <v>1.2246625288410296</v>
      </c>
      <c r="N80" s="2">
        <v>1</v>
      </c>
      <c r="O80" s="12">
        <v>53.5</v>
      </c>
      <c r="P80" s="2">
        <v>1</v>
      </c>
      <c r="Q80" s="9" t="s">
        <v>305</v>
      </c>
      <c r="R80" s="9" t="s">
        <v>308</v>
      </c>
      <c r="S80" s="10">
        <v>2870</v>
      </c>
      <c r="T80" s="10">
        <v>120</v>
      </c>
      <c r="U80" s="9" t="s">
        <v>305</v>
      </c>
      <c r="V80" s="2" t="s">
        <v>306</v>
      </c>
      <c r="W80" s="2" t="s">
        <v>307</v>
      </c>
      <c r="X80" s="9">
        <f>AVERAGE(10,20,0)</f>
        <v>10</v>
      </c>
      <c r="Y80" s="9">
        <f>AVERAGE(31.2,46.7,26.9)</f>
        <v>34.933333333333337</v>
      </c>
      <c r="Z80" s="9">
        <f>AVERAGE(27.3,49.8,20)-6.7</f>
        <v>25.666666666666668</v>
      </c>
      <c r="AA80" s="2">
        <f t="shared" si="38"/>
        <v>60.600000000000009</v>
      </c>
      <c r="AB80" s="9"/>
      <c r="AC80" s="9">
        <f>AVERAGE(11.41,4.7,6.7)</f>
        <v>7.6033333333333326</v>
      </c>
      <c r="AD80" s="2">
        <f t="shared" si="39"/>
        <v>7.6033333333333326</v>
      </c>
      <c r="AE80" s="9">
        <f t="shared" si="40"/>
        <v>68.203333333333347</v>
      </c>
      <c r="AF80" s="9">
        <f>AVERAGE(0)</f>
        <v>0</v>
      </c>
      <c r="AG80" s="9">
        <v>21.774999999999999</v>
      </c>
      <c r="AH80" s="9"/>
      <c r="AI80" s="9"/>
      <c r="AJ80" s="9">
        <f t="shared" si="41"/>
        <v>21.774999999999999</v>
      </c>
      <c r="AK80" s="9">
        <f>AVERAGE(0)</f>
        <v>0</v>
      </c>
      <c r="AL80" s="9">
        <f t="shared" si="42"/>
        <v>99.978333333333353</v>
      </c>
      <c r="AM80" s="9" t="s">
        <v>521</v>
      </c>
      <c r="AN80" s="9" t="s">
        <v>529</v>
      </c>
      <c r="AQ80" s="14">
        <f>AVERAGE(10.1,15,30,12)</f>
        <v>16.774999999999999</v>
      </c>
      <c r="AR80" s="2" t="s">
        <v>792</v>
      </c>
      <c r="AS80" s="14">
        <v>16.774999999999999</v>
      </c>
      <c r="AT80" s="9" t="s">
        <v>786</v>
      </c>
      <c r="AU80" s="9"/>
      <c r="AX80" s="9"/>
      <c r="BA80" s="16"/>
      <c r="BB80" s="16"/>
      <c r="BC80" s="16"/>
      <c r="BD80" s="16"/>
      <c r="BE80" s="16"/>
      <c r="BF80" s="16"/>
      <c r="BG80" s="16"/>
    </row>
    <row r="81" spans="1:59">
      <c r="A81" s="2" t="s">
        <v>80</v>
      </c>
      <c r="B81" s="2" t="s">
        <v>80</v>
      </c>
      <c r="C81" s="2" t="s">
        <v>80</v>
      </c>
      <c r="D81" s="2" t="s">
        <v>289</v>
      </c>
      <c r="E81" s="2" t="s">
        <v>272</v>
      </c>
      <c r="F81" s="2">
        <v>1</v>
      </c>
      <c r="G81" s="2">
        <f t="shared" si="34"/>
        <v>1.7979596437371961</v>
      </c>
      <c r="I81" s="2">
        <f t="shared" si="35"/>
        <v>-1</v>
      </c>
      <c r="J81" s="2">
        <f t="shared" si="36"/>
        <v>1.7151673578484579</v>
      </c>
      <c r="K81" s="2">
        <f t="shared" si="37"/>
        <v>1.6222140229662954</v>
      </c>
      <c r="N81" s="2">
        <v>1</v>
      </c>
      <c r="O81" s="12">
        <v>62.8</v>
      </c>
      <c r="P81" s="2">
        <v>2</v>
      </c>
      <c r="Q81" s="9" t="s">
        <v>305</v>
      </c>
      <c r="R81" s="9" t="s">
        <v>308</v>
      </c>
      <c r="S81" s="10"/>
      <c r="T81" s="10"/>
      <c r="U81" s="9"/>
      <c r="V81" s="2"/>
      <c r="W81" s="2"/>
      <c r="X81" s="9">
        <v>0.1</v>
      </c>
      <c r="Y81" s="9">
        <v>51.9</v>
      </c>
      <c r="Z81" s="9"/>
      <c r="AA81" s="2">
        <f t="shared" si="38"/>
        <v>51.9</v>
      </c>
      <c r="AB81" s="9"/>
      <c r="AC81" s="9">
        <v>1.2</v>
      </c>
      <c r="AD81" s="2">
        <f t="shared" si="39"/>
        <v>1.2</v>
      </c>
      <c r="AE81" s="9">
        <f t="shared" si="40"/>
        <v>53.1</v>
      </c>
      <c r="AF81" s="9"/>
      <c r="AG81" s="9">
        <v>41.9</v>
      </c>
      <c r="AH81" s="9">
        <v>1.6</v>
      </c>
      <c r="AI81" s="9"/>
      <c r="AJ81" s="9">
        <f t="shared" si="41"/>
        <v>41.9</v>
      </c>
      <c r="AK81" s="9">
        <v>4.9000000000000004</v>
      </c>
      <c r="AL81" s="9">
        <f t="shared" si="42"/>
        <v>100</v>
      </c>
      <c r="AM81" s="9" t="s">
        <v>517</v>
      </c>
      <c r="AN81" s="9" t="s">
        <v>530</v>
      </c>
      <c r="AQ81" s="14"/>
      <c r="AS81" s="14"/>
      <c r="AT81" s="9"/>
      <c r="AU81" s="9"/>
      <c r="AX81" s="9"/>
      <c r="BA81" s="16"/>
      <c r="BB81" s="16"/>
      <c r="BC81" s="16"/>
      <c r="BD81" s="16"/>
      <c r="BE81" s="16"/>
      <c r="BF81" s="16"/>
      <c r="BG81" s="16"/>
    </row>
    <row r="82" spans="1:59">
      <c r="A82" s="2" t="s">
        <v>81</v>
      </c>
      <c r="B82" s="2" t="s">
        <v>81</v>
      </c>
      <c r="C82" s="2" t="s">
        <v>81</v>
      </c>
      <c r="E82" s="2" t="s">
        <v>273</v>
      </c>
      <c r="F82" s="2">
        <v>0</v>
      </c>
      <c r="G82" s="2">
        <f t="shared" si="34"/>
        <v>0.75168580789236428</v>
      </c>
      <c r="H82" s="2">
        <f t="shared" si="33"/>
        <v>2.6020599913279625</v>
      </c>
      <c r="L82" s="2">
        <f>LOG(AS82)</f>
        <v>0.6020599913279624</v>
      </c>
      <c r="M82" s="2">
        <f>LOG(AX82)</f>
        <v>0.64345267648618742</v>
      </c>
      <c r="N82" s="2">
        <v>0</v>
      </c>
      <c r="O82" s="12">
        <v>5.6452841666666664</v>
      </c>
      <c r="P82" s="2">
        <v>24</v>
      </c>
      <c r="Q82" s="2" t="s">
        <v>316</v>
      </c>
      <c r="R82" s="9" t="s">
        <v>308</v>
      </c>
      <c r="S82" s="13">
        <v>400</v>
      </c>
      <c r="T82" s="8">
        <v>9</v>
      </c>
      <c r="U82" s="9" t="s">
        <v>316</v>
      </c>
      <c r="V82" s="2" t="s">
        <v>306</v>
      </c>
      <c r="W82" s="2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2">
        <v>4</v>
      </c>
      <c r="AP82" s="2" t="s">
        <v>793</v>
      </c>
      <c r="AQ82" s="9">
        <v>3.5</v>
      </c>
      <c r="AR82" s="9" t="s">
        <v>717</v>
      </c>
      <c r="AS82" s="9">
        <v>4</v>
      </c>
      <c r="AT82" s="9" t="s">
        <v>794</v>
      </c>
      <c r="AU82" s="9"/>
      <c r="AV82" s="9"/>
      <c r="AW82" s="9">
        <v>4</v>
      </c>
      <c r="AX82" s="9">
        <v>4.4000000000000004</v>
      </c>
      <c r="AY82" s="9"/>
      <c r="AZ82" s="9" t="s">
        <v>1131</v>
      </c>
      <c r="BA82" s="17"/>
      <c r="BB82" s="17"/>
      <c r="BC82" s="17"/>
      <c r="BD82" s="17"/>
      <c r="BE82" s="17"/>
      <c r="BF82" s="17"/>
      <c r="BG82" s="17"/>
    </row>
    <row r="83" spans="1:59">
      <c r="A83" s="2" t="s">
        <v>82</v>
      </c>
      <c r="B83" s="2" t="s">
        <v>82</v>
      </c>
      <c r="C83" s="2" t="s">
        <v>82</v>
      </c>
      <c r="E83" s="2" t="s">
        <v>273</v>
      </c>
      <c r="F83" s="2">
        <v>0</v>
      </c>
      <c r="G83" s="2">
        <f t="shared" si="34"/>
        <v>0.40546319418605153</v>
      </c>
      <c r="H83" s="2">
        <f t="shared" si="33"/>
        <v>2.1445742076096161</v>
      </c>
      <c r="I83" s="2">
        <f t="shared" ref="I83:J87" si="45">LOG(X83)</f>
        <v>1.2900346113625181</v>
      </c>
      <c r="J83" s="2">
        <f t="shared" si="45"/>
        <v>1.8293037728310249</v>
      </c>
      <c r="K83" s="2">
        <f>LOG(AG83)</f>
        <v>0.69897000433601886</v>
      </c>
      <c r="L83" s="2">
        <f>LOG(AS83)</f>
        <v>0.6020599913279624</v>
      </c>
      <c r="M83" s="2">
        <f>LOG(AX83)</f>
        <v>0.6020599913279624</v>
      </c>
      <c r="N83" s="2">
        <v>0</v>
      </c>
      <c r="O83" s="12">
        <v>2.5436842105263158</v>
      </c>
      <c r="P83" s="2">
        <v>19</v>
      </c>
      <c r="Q83" s="2" t="s">
        <v>316</v>
      </c>
      <c r="R83" s="9" t="s">
        <v>308</v>
      </c>
      <c r="S83" s="13">
        <v>139.5</v>
      </c>
      <c r="T83" s="8">
        <v>99</v>
      </c>
      <c r="U83" s="9" t="s">
        <v>316</v>
      </c>
      <c r="V83" s="2" t="s">
        <v>306</v>
      </c>
      <c r="W83" s="2"/>
      <c r="X83" s="12">
        <f>AVERAGE(19,20)</f>
        <v>19.5</v>
      </c>
      <c r="Y83" s="2">
        <f>AVERAGE(60,75)</f>
        <v>67.5</v>
      </c>
      <c r="Z83" s="9"/>
      <c r="AA83" s="2">
        <f>Y83+Z83</f>
        <v>67.5</v>
      </c>
      <c r="AB83" s="9"/>
      <c r="AD83" s="12">
        <v>8</v>
      </c>
      <c r="AE83" s="9">
        <f>AA83+AD83</f>
        <v>75.5</v>
      </c>
      <c r="AF83" s="9"/>
      <c r="AG83" s="9">
        <v>5</v>
      </c>
      <c r="AH83" s="9">
        <f>AVERAGE(4,6)</f>
        <v>5</v>
      </c>
      <c r="AI83" s="9"/>
      <c r="AJ83" s="9">
        <f>AG83</f>
        <v>5</v>
      </c>
      <c r="AK83" s="9">
        <v>0</v>
      </c>
      <c r="AL83" s="9">
        <f>SUM(X83+AA83+AD83+AF83+AG83+AK83)</f>
        <v>100</v>
      </c>
      <c r="AM83" s="9" t="s">
        <v>495</v>
      </c>
      <c r="AN83" s="9" t="s">
        <v>531</v>
      </c>
      <c r="AO83" s="9">
        <v>4</v>
      </c>
      <c r="AP83" s="2" t="s">
        <v>793</v>
      </c>
      <c r="AQ83" s="2">
        <v>1</v>
      </c>
      <c r="AS83" s="9">
        <v>4</v>
      </c>
      <c r="AT83" s="9" t="s">
        <v>795</v>
      </c>
      <c r="AU83" s="9"/>
      <c r="AV83" s="9"/>
      <c r="AW83" s="9"/>
      <c r="AX83" s="9">
        <v>4</v>
      </c>
      <c r="AY83" s="9" t="s">
        <v>1132</v>
      </c>
      <c r="AZ83" s="9" t="s">
        <v>795</v>
      </c>
      <c r="BA83" s="17"/>
      <c r="BB83" s="17"/>
      <c r="BC83" s="17"/>
      <c r="BD83" s="17"/>
      <c r="BE83" s="17"/>
      <c r="BF83" s="17"/>
      <c r="BG83" s="17"/>
    </row>
    <row r="84" spans="1:59">
      <c r="A84" s="2" t="s">
        <v>83</v>
      </c>
      <c r="B84" s="2" t="s">
        <v>83</v>
      </c>
      <c r="C84" s="2" t="s">
        <v>83</v>
      </c>
      <c r="E84" s="2" t="s">
        <v>280</v>
      </c>
      <c r="F84" s="2">
        <v>0</v>
      </c>
      <c r="G84" s="2">
        <f t="shared" si="34"/>
        <v>1.7607239721419516</v>
      </c>
      <c r="H84" s="2">
        <f t="shared" si="33"/>
        <v>3.4543111881475665</v>
      </c>
      <c r="I84" s="2">
        <f t="shared" si="45"/>
        <v>-0.3979400086720376</v>
      </c>
      <c r="J84" s="2">
        <f t="shared" si="45"/>
        <v>1.6683859166900001</v>
      </c>
      <c r="K84" s="2">
        <f>LOG(AG84)</f>
        <v>-0.3010299956639812</v>
      </c>
      <c r="L84" s="2">
        <f>LOG(AS84)</f>
        <v>1.3521825181113625</v>
      </c>
      <c r="M84" s="2">
        <f>LOG(AX84)</f>
        <v>2.4771212547196626</v>
      </c>
      <c r="N84" s="2">
        <v>1</v>
      </c>
      <c r="O84" s="12">
        <v>57.64</v>
      </c>
      <c r="P84" s="2">
        <v>5</v>
      </c>
      <c r="Q84" s="2" t="s">
        <v>316</v>
      </c>
      <c r="R84" s="9" t="s">
        <v>308</v>
      </c>
      <c r="S84" s="13">
        <v>2846.5</v>
      </c>
      <c r="T84" s="8">
        <v>10</v>
      </c>
      <c r="U84" s="9" t="s">
        <v>316</v>
      </c>
      <c r="V84" s="2" t="s">
        <v>347</v>
      </c>
      <c r="W84" s="2"/>
      <c r="X84" s="9">
        <v>0.4</v>
      </c>
      <c r="Y84" s="9">
        <f>AVERAGE(53.9, 39.3)</f>
        <v>46.599999999999994</v>
      </c>
      <c r="Z84" s="9">
        <f>AVERAGE(35.9,54.2)</f>
        <v>45.05</v>
      </c>
      <c r="AA84" s="2">
        <f>Y84+Z84</f>
        <v>91.649999999999991</v>
      </c>
      <c r="AB84" s="9"/>
      <c r="AC84" s="9">
        <f>AVERAGE(3,5.1)</f>
        <v>4.05</v>
      </c>
      <c r="AD84" s="2">
        <f>AB84+AC84</f>
        <v>4.05</v>
      </c>
      <c r="AE84" s="9">
        <f>53.9+35.9+3</f>
        <v>92.8</v>
      </c>
      <c r="AF84" s="9"/>
      <c r="AG84" s="2">
        <v>0.5</v>
      </c>
      <c r="AH84" s="9"/>
      <c r="AI84" s="9"/>
      <c r="AJ84" s="9">
        <f>AG84</f>
        <v>0.5</v>
      </c>
      <c r="AK84" s="9">
        <v>3.4</v>
      </c>
      <c r="AL84" s="9">
        <f>SUM(X84+AA84+AD84+AF84+AG84+AK84)</f>
        <v>100</v>
      </c>
      <c r="AM84" s="9" t="s">
        <v>495</v>
      </c>
      <c r="AN84" s="9" t="s">
        <v>532</v>
      </c>
      <c r="AO84" s="9"/>
      <c r="AP84" s="9"/>
      <c r="AQ84" s="9">
        <v>22.5</v>
      </c>
      <c r="AR84" s="9" t="s">
        <v>796</v>
      </c>
      <c r="AS84" s="9">
        <v>22.5</v>
      </c>
      <c r="AT84" s="2" t="s">
        <v>797</v>
      </c>
      <c r="AV84" s="9"/>
      <c r="AW84" s="9"/>
      <c r="AX84" s="9">
        <v>300</v>
      </c>
      <c r="AY84" s="9" t="s">
        <v>1133</v>
      </c>
      <c r="AZ84" s="2" t="s">
        <v>1134</v>
      </c>
      <c r="BA84" s="17"/>
      <c r="BB84" s="17"/>
      <c r="BC84" s="17"/>
      <c r="BD84" s="17"/>
      <c r="BE84" s="17"/>
      <c r="BF84" s="17"/>
      <c r="BG84" s="17"/>
    </row>
    <row r="85" spans="1:59">
      <c r="A85" s="2" t="s">
        <v>84</v>
      </c>
      <c r="B85" s="2" t="s">
        <v>84</v>
      </c>
      <c r="C85" s="2" t="s">
        <v>84</v>
      </c>
      <c r="E85" s="2" t="s">
        <v>280</v>
      </c>
      <c r="F85" s="2">
        <v>0</v>
      </c>
      <c r="G85" s="2">
        <f t="shared" si="34"/>
        <v>1.7393167266829188</v>
      </c>
      <c r="H85" s="2">
        <f t="shared" si="33"/>
        <v>3.4088113600614598</v>
      </c>
      <c r="I85" s="2">
        <f t="shared" si="45"/>
        <v>-0.3010299956639812</v>
      </c>
      <c r="J85" s="2">
        <f t="shared" si="45"/>
        <v>1.3247967176217299</v>
      </c>
      <c r="K85" s="2">
        <f>LOG(AG85)</f>
        <v>-0.32330639037513342</v>
      </c>
      <c r="L85" s="2">
        <f>LOG(AS85)</f>
        <v>1.330639205216128</v>
      </c>
      <c r="M85" s="2">
        <f>LOG(AX85)</f>
        <v>2.3010299956639813</v>
      </c>
      <c r="N85" s="2">
        <v>1</v>
      </c>
      <c r="O85" s="12">
        <v>54.867696374448521</v>
      </c>
      <c r="P85" s="2">
        <v>32</v>
      </c>
      <c r="Q85" s="2" t="s">
        <v>316</v>
      </c>
      <c r="R85" s="9" t="s">
        <v>308</v>
      </c>
      <c r="S85" s="13">
        <v>2563.3703703703704</v>
      </c>
      <c r="T85" s="8">
        <v>27</v>
      </c>
      <c r="U85" s="9" t="s">
        <v>316</v>
      </c>
      <c r="V85" s="9" t="s">
        <v>312</v>
      </c>
      <c r="W85" s="9" t="s">
        <v>311</v>
      </c>
      <c r="X85" s="2">
        <v>0.5</v>
      </c>
      <c r="Y85" s="2">
        <f>AVERAGE(9.3,27.6,26,21.6)</f>
        <v>21.125</v>
      </c>
      <c r="Z85" s="2">
        <f>AVERAGE(63.3,66.4,50.7,74.8)</f>
        <v>63.8</v>
      </c>
      <c r="AA85" s="2">
        <f>Y85+Z85</f>
        <v>84.924999999999997</v>
      </c>
      <c r="AC85" s="2">
        <f>AVERAGE(11.4,4.6,4.05,0.4)</f>
        <v>5.1124999999999998</v>
      </c>
      <c r="AD85" s="2">
        <f>AB85+AC85</f>
        <v>5.1124999999999998</v>
      </c>
      <c r="AE85" s="9">
        <f>AA85+AD85</f>
        <v>90.037499999999994</v>
      </c>
      <c r="AG85" s="2">
        <v>0.47499999999999998</v>
      </c>
      <c r="AJ85" s="9">
        <f>AK85+AG85</f>
        <v>9.4749999999999996</v>
      </c>
      <c r="AK85" s="2">
        <v>9</v>
      </c>
      <c r="AL85" s="9">
        <f>SUM(X85+AA85+AD85+AF85+AG85+AK85)</f>
        <v>100.01249999999999</v>
      </c>
      <c r="AM85" s="9" t="s">
        <v>458</v>
      </c>
      <c r="AN85" s="9" t="s">
        <v>533</v>
      </c>
      <c r="AQ85" s="2">
        <f>AVERAGE(8, 9, 13, 27, 15, 22, 22,44,32.7)</f>
        <v>21.411111111111111</v>
      </c>
      <c r="AR85" s="2" t="s">
        <v>798</v>
      </c>
      <c r="AS85" s="2">
        <v>21.411111111111111</v>
      </c>
      <c r="AT85" s="2" t="s">
        <v>413</v>
      </c>
      <c r="AX85" s="2">
        <v>200</v>
      </c>
      <c r="AY85" s="2" t="s">
        <v>1135</v>
      </c>
      <c r="AZ85" s="2" t="s">
        <v>413</v>
      </c>
      <c r="BA85" s="16"/>
      <c r="BB85" s="16"/>
      <c r="BC85" s="16"/>
      <c r="BD85" s="16"/>
      <c r="BE85" s="16"/>
      <c r="BF85" s="16"/>
      <c r="BG85" s="16"/>
    </row>
    <row r="86" spans="1:59">
      <c r="A86" s="2" t="s">
        <v>85</v>
      </c>
      <c r="B86" s="2" t="s">
        <v>85</v>
      </c>
      <c r="C86" s="2" t="s">
        <v>85</v>
      </c>
      <c r="E86" s="2" t="s">
        <v>280</v>
      </c>
      <c r="F86" s="2">
        <v>0</v>
      </c>
      <c r="G86" s="2">
        <f t="shared" si="34"/>
        <v>1.6937865839190089</v>
      </c>
      <c r="H86" s="2">
        <f t="shared" si="33"/>
        <v>3.4814426285023048</v>
      </c>
      <c r="I86" s="2">
        <f t="shared" si="45"/>
        <v>0.36172783601759284</v>
      </c>
      <c r="J86" s="2">
        <f t="shared" si="45"/>
        <v>1.4071075149129415</v>
      </c>
      <c r="K86" s="2">
        <f>LOG(AG86)</f>
        <v>0.16136800223497488</v>
      </c>
      <c r="L86" s="2">
        <f>LOG(AS86)</f>
        <v>1.4471580313422192</v>
      </c>
      <c r="M86" s="2">
        <f>LOG(AX86)</f>
        <v>2.3521825181113627</v>
      </c>
      <c r="N86" s="2">
        <v>1</v>
      </c>
      <c r="O86" s="12">
        <v>49.406783809523816</v>
      </c>
      <c r="P86" s="2">
        <v>21</v>
      </c>
      <c r="Q86" s="2" t="s">
        <v>316</v>
      </c>
      <c r="R86" s="9" t="s">
        <v>308</v>
      </c>
      <c r="S86" s="13">
        <v>3030</v>
      </c>
      <c r="T86" s="8">
        <v>9</v>
      </c>
      <c r="U86" s="9" t="s">
        <v>316</v>
      </c>
      <c r="V86" s="18" t="s">
        <v>348</v>
      </c>
      <c r="W86" s="9"/>
      <c r="X86" s="2">
        <f>AVERAGE(4.6,0)</f>
        <v>2.2999999999999998</v>
      </c>
      <c r="Y86" s="2">
        <f>AVERAGE(9.7,41.9,25)</f>
        <v>25.533333333333331</v>
      </c>
      <c r="Z86" s="2">
        <f>AVERAGE(40.7,38.4,54)-0.3</f>
        <v>44.06666666666667</v>
      </c>
      <c r="AA86" s="2">
        <f>Y86+Z86</f>
        <v>69.599999999999994</v>
      </c>
      <c r="AC86" s="2">
        <f>AVERAGE(49.6,19.7,10.7)</f>
        <v>26.666666666666668</v>
      </c>
      <c r="AD86" s="2">
        <f>AB86+AC86</f>
        <v>26.666666666666668</v>
      </c>
      <c r="AE86" s="9">
        <f>AA86+AD86</f>
        <v>96.266666666666666</v>
      </c>
      <c r="AG86" s="2">
        <v>1.45</v>
      </c>
      <c r="AH86" s="2">
        <f>AVERAGE(2.9,0)</f>
        <v>1.45</v>
      </c>
      <c r="AI86" s="2">
        <v>0</v>
      </c>
      <c r="AJ86" s="9">
        <f>AG86</f>
        <v>1.45</v>
      </c>
      <c r="AK86" s="2">
        <v>0</v>
      </c>
      <c r="AL86" s="9">
        <f>SUM(X86+AA86+AD86+AF86+AG86+AK86)</f>
        <v>100.01666666666667</v>
      </c>
      <c r="AM86" s="9" t="s">
        <v>482</v>
      </c>
      <c r="AN86" s="9" t="s">
        <v>534</v>
      </c>
      <c r="AR86" s="2" t="s">
        <v>799</v>
      </c>
      <c r="AS86" s="2">
        <v>28</v>
      </c>
      <c r="AT86" s="2" t="s">
        <v>800</v>
      </c>
      <c r="AX86" s="2">
        <v>225</v>
      </c>
      <c r="AY86" s="2" t="s">
        <v>1136</v>
      </c>
      <c r="AZ86" s="2" t="s">
        <v>1137</v>
      </c>
      <c r="BA86" s="16"/>
      <c r="BB86" s="16"/>
      <c r="BC86" s="16"/>
      <c r="BD86" s="16"/>
      <c r="BE86" s="16"/>
      <c r="BF86" s="16"/>
      <c r="BG86" s="16"/>
    </row>
    <row r="87" spans="1:59">
      <c r="A87" s="2" t="s">
        <v>86</v>
      </c>
      <c r="B87" s="2" t="s">
        <v>86</v>
      </c>
      <c r="C87" s="2" t="s">
        <v>86</v>
      </c>
      <c r="E87" s="2" t="s">
        <v>280</v>
      </c>
      <c r="F87" s="2">
        <v>0</v>
      </c>
      <c r="I87" s="2">
        <f t="shared" si="45"/>
        <v>-0.45593195564972439</v>
      </c>
      <c r="J87" s="2">
        <f t="shared" si="45"/>
        <v>1.386498965550653</v>
      </c>
      <c r="K87" s="2">
        <f>LOG(AG87)</f>
        <v>0.20411998265592479</v>
      </c>
      <c r="N87" s="2">
        <v>1</v>
      </c>
      <c r="Q87" s="2"/>
      <c r="R87" s="9"/>
      <c r="S87" s="10"/>
      <c r="T87" s="10"/>
      <c r="U87" s="9"/>
      <c r="V87" s="9"/>
      <c r="W87" s="9"/>
      <c r="X87" s="2">
        <f>AVERAGE(0.7,0)</f>
        <v>0.35</v>
      </c>
      <c r="Y87" s="2">
        <f>AVERAGE(5.4,43.3)</f>
        <v>24.349999999999998</v>
      </c>
      <c r="Z87" s="2">
        <f>AVERAGE(75.6,36.2)</f>
        <v>55.9</v>
      </c>
      <c r="AA87" s="2">
        <f>Y87+Z87</f>
        <v>80.25</v>
      </c>
      <c r="AC87" s="2">
        <f>AVERAGE(18.9,16.6)</f>
        <v>17.75</v>
      </c>
      <c r="AD87" s="2">
        <f>AB87+AC87</f>
        <v>17.75</v>
      </c>
      <c r="AE87" s="9">
        <f>AA87+AD87</f>
        <v>98</v>
      </c>
      <c r="AG87" s="2">
        <v>1.6</v>
      </c>
      <c r="AH87" s="2">
        <f>AVERAGE(0.1,3.1)</f>
        <v>1.6</v>
      </c>
      <c r="AI87" s="2">
        <v>0</v>
      </c>
      <c r="AJ87" s="9">
        <f>AG87</f>
        <v>1.6</v>
      </c>
      <c r="AK87" s="2">
        <v>0</v>
      </c>
      <c r="AL87" s="9">
        <f>SUM(X87+AA87+AD87+AF87+AG87+AK87)</f>
        <v>99.949999999999989</v>
      </c>
      <c r="AM87" s="9" t="s">
        <v>489</v>
      </c>
      <c r="AN87" s="9" t="s">
        <v>535</v>
      </c>
      <c r="BA87" s="16"/>
      <c r="BB87" s="16"/>
      <c r="BC87" s="16"/>
      <c r="BD87" s="16"/>
      <c r="BE87" s="16"/>
      <c r="BF87" s="16"/>
      <c r="BG87" s="16"/>
    </row>
    <row r="88" spans="1:59">
      <c r="A88" s="2" t="s">
        <v>87</v>
      </c>
      <c r="B88" s="2" t="s">
        <v>87</v>
      </c>
      <c r="C88" s="2" t="s">
        <v>87</v>
      </c>
      <c r="D88" s="2" t="s">
        <v>271</v>
      </c>
      <c r="E88" s="2" t="s">
        <v>272</v>
      </c>
      <c r="F88" s="2">
        <v>1</v>
      </c>
      <c r="G88" s="2">
        <f>LOG(O88)</f>
        <v>1.765273372155671</v>
      </c>
      <c r="H88" s="2">
        <f t="shared" si="33"/>
        <v>3.5533732200440671</v>
      </c>
      <c r="L88" s="2">
        <f>LOG(AS88)</f>
        <v>0.95904139232109353</v>
      </c>
      <c r="N88" s="2">
        <v>1</v>
      </c>
      <c r="O88" s="12">
        <v>58.24697453507958</v>
      </c>
      <c r="P88" s="2">
        <v>27</v>
      </c>
      <c r="Q88" s="9" t="s">
        <v>305</v>
      </c>
      <c r="R88" s="9" t="s">
        <v>308</v>
      </c>
      <c r="S88" s="13">
        <v>3575.8</v>
      </c>
      <c r="T88" s="8">
        <v>30</v>
      </c>
      <c r="U88" s="9" t="s">
        <v>305</v>
      </c>
      <c r="V88" s="9" t="s">
        <v>308</v>
      </c>
      <c r="W88" s="9" t="s">
        <v>311</v>
      </c>
      <c r="AE88" s="9"/>
      <c r="AJ88" s="9"/>
      <c r="AL88" s="9"/>
      <c r="AM88" s="9"/>
      <c r="AN88" s="2" t="s">
        <v>536</v>
      </c>
      <c r="AO88" s="9"/>
      <c r="AP88" s="9"/>
      <c r="AQ88" s="14">
        <v>9.1</v>
      </c>
      <c r="AR88" s="9" t="s">
        <v>801</v>
      </c>
      <c r="AS88" s="14">
        <v>9.1</v>
      </c>
      <c r="AT88" s="9" t="s">
        <v>802</v>
      </c>
      <c r="AU88" s="9"/>
      <c r="AV88" s="9"/>
      <c r="AW88" s="9"/>
      <c r="AZ88" s="9"/>
      <c r="BA88" s="17"/>
      <c r="BB88" s="17"/>
      <c r="BC88" s="17"/>
      <c r="BD88" s="17"/>
      <c r="BE88" s="17"/>
      <c r="BF88" s="17"/>
      <c r="BG88" s="17"/>
    </row>
    <row r="89" spans="1:59">
      <c r="A89" s="2" t="s">
        <v>88</v>
      </c>
      <c r="B89" s="2" t="s">
        <v>88</v>
      </c>
      <c r="C89" s="2" t="s">
        <v>88</v>
      </c>
      <c r="D89" s="2" t="s">
        <v>271</v>
      </c>
      <c r="E89" s="2" t="s">
        <v>272</v>
      </c>
      <c r="F89" s="2">
        <v>0</v>
      </c>
      <c r="I89" s="2">
        <f t="shared" ref="I89:J91" si="46">LOG(X89)</f>
        <v>0.36172783601759284</v>
      </c>
      <c r="J89" s="2">
        <f t="shared" si="46"/>
        <v>0.98227123303956843</v>
      </c>
      <c r="K89" s="2">
        <f t="shared" ref="K89:K96" si="47">LOG(AG89)</f>
        <v>1.9100905455940682</v>
      </c>
      <c r="N89" s="2">
        <v>1</v>
      </c>
      <c r="Q89" s="9"/>
      <c r="R89" s="9"/>
      <c r="S89" s="13"/>
      <c r="T89" s="8"/>
      <c r="U89" s="9"/>
      <c r="V89" s="9"/>
      <c r="W89" s="9"/>
      <c r="X89" s="2">
        <v>2.2999999999999998</v>
      </c>
      <c r="Y89" s="2">
        <v>9.6</v>
      </c>
      <c r="AA89" s="2">
        <f>Y89+Z89</f>
        <v>9.6</v>
      </c>
      <c r="AC89" s="2">
        <v>3.1</v>
      </c>
      <c r="AD89" s="2">
        <f t="shared" ref="AD89:AD101" si="48">AB89+AC89</f>
        <v>3.1</v>
      </c>
      <c r="AE89" s="9">
        <f t="shared" ref="AE89:AE101" si="49">AA89+AD89</f>
        <v>12.7</v>
      </c>
      <c r="AG89" s="2">
        <v>81.3</v>
      </c>
      <c r="AH89" s="2">
        <v>80.2</v>
      </c>
      <c r="AI89" s="2">
        <v>1.1000000000000001</v>
      </c>
      <c r="AJ89" s="9">
        <f>AG89</f>
        <v>81.3</v>
      </c>
      <c r="AK89" s="2">
        <v>3.7</v>
      </c>
      <c r="AL89" s="9">
        <f t="shared" ref="AL89:AL101" si="50">SUM(X89+AA89+AD89+AF89+AG89+AK89)</f>
        <v>100</v>
      </c>
      <c r="AM89" s="2" t="s">
        <v>517</v>
      </c>
      <c r="AN89" s="2" t="s">
        <v>537</v>
      </c>
      <c r="AO89" s="9"/>
      <c r="AP89" s="9"/>
      <c r="AQ89" s="14"/>
      <c r="AR89" s="9"/>
      <c r="AS89" s="14"/>
      <c r="AT89" s="9"/>
      <c r="AU89" s="9"/>
      <c r="AV89" s="9"/>
      <c r="AW89" s="9"/>
      <c r="AZ89" s="9"/>
      <c r="BA89" s="17"/>
      <c r="BB89" s="17"/>
      <c r="BC89" s="17"/>
      <c r="BD89" s="17"/>
      <c r="BE89" s="17"/>
      <c r="BF89" s="17"/>
      <c r="BG89" s="17"/>
    </row>
    <row r="90" spans="1:59">
      <c r="A90" s="2" t="s">
        <v>89</v>
      </c>
      <c r="B90" s="2" t="s">
        <v>89</v>
      </c>
      <c r="C90" s="2" t="s">
        <v>89</v>
      </c>
      <c r="D90" s="2" t="s">
        <v>271</v>
      </c>
      <c r="E90" s="2" t="s">
        <v>272</v>
      </c>
      <c r="F90" s="2" t="s">
        <v>1345</v>
      </c>
      <c r="G90" s="2">
        <f t="shared" ref="G90:G101" si="51">LOG(O90)</f>
        <v>1.7775714568323999</v>
      </c>
      <c r="H90" s="2">
        <f t="shared" si="33"/>
        <v>3.5533732200440671</v>
      </c>
      <c r="I90" s="2">
        <f t="shared" si="46"/>
        <v>1.1861083798132053</v>
      </c>
      <c r="J90" s="2">
        <f t="shared" si="46"/>
        <v>0.95263102528274557</v>
      </c>
      <c r="K90" s="2">
        <f t="shared" si="47"/>
        <v>0.97924477840938051</v>
      </c>
      <c r="L90" s="2">
        <f t="shared" ref="L90:L116" si="52">LOG(AS90)</f>
        <v>1.4349678884278125</v>
      </c>
      <c r="M90" s="2">
        <f t="shared" ref="M90:M109" si="53">LOG(AX90)</f>
        <v>1.6127838567197355</v>
      </c>
      <c r="N90" s="2">
        <v>1</v>
      </c>
      <c r="O90" s="12">
        <v>59.919952005598944</v>
      </c>
      <c r="P90" s="2">
        <v>34</v>
      </c>
      <c r="Q90" s="9" t="s">
        <v>305</v>
      </c>
      <c r="R90" s="9" t="s">
        <v>308</v>
      </c>
      <c r="S90" s="10">
        <v>3575.8</v>
      </c>
      <c r="T90" s="10">
        <v>30</v>
      </c>
      <c r="U90" s="9" t="s">
        <v>305</v>
      </c>
      <c r="V90" s="9" t="s">
        <v>312</v>
      </c>
      <c r="W90" s="9" t="s">
        <v>311</v>
      </c>
      <c r="X90" s="9">
        <f>AVERAGE(7.7,23)</f>
        <v>15.35</v>
      </c>
      <c r="Y90" s="9">
        <f>AVERAGE(11.1,5.8,10)</f>
        <v>8.9666666666666668</v>
      </c>
      <c r="Z90" s="9">
        <f>AVERAGE(2.6,19.6,8)</f>
        <v>10.066666666666668</v>
      </c>
      <c r="AA90" s="2">
        <f>Y90+Z90</f>
        <v>19.033333333333335</v>
      </c>
      <c r="AB90" s="9"/>
      <c r="AC90" s="9">
        <f>AVERAGE(14.3,44.7,8)</f>
        <v>22.333333333333332</v>
      </c>
      <c r="AD90" s="2">
        <f t="shared" si="48"/>
        <v>22.333333333333332</v>
      </c>
      <c r="AE90" s="9">
        <f t="shared" si="49"/>
        <v>41.366666666666667</v>
      </c>
      <c r="AF90" s="9">
        <f>AVERAGE(30,37)</f>
        <v>33.5</v>
      </c>
      <c r="AG90" s="9">
        <v>9.5333333333333332</v>
      </c>
      <c r="AH90" s="9"/>
      <c r="AI90" s="9"/>
      <c r="AJ90" s="9">
        <f>AG90</f>
        <v>9.5333333333333332</v>
      </c>
      <c r="AK90" s="9">
        <v>0.2</v>
      </c>
      <c r="AL90" s="9">
        <f t="shared" si="50"/>
        <v>99.95</v>
      </c>
      <c r="AM90" s="9" t="s">
        <v>458</v>
      </c>
      <c r="AN90" s="9" t="s">
        <v>538</v>
      </c>
      <c r="AQ90" s="2">
        <f>AVERAGE(28,18.1,24.3,38.5)</f>
        <v>27.225000000000001</v>
      </c>
      <c r="AR90" s="2" t="s">
        <v>803</v>
      </c>
      <c r="AS90" s="2">
        <v>27.225000000000001</v>
      </c>
      <c r="AT90" s="2" t="s">
        <v>786</v>
      </c>
      <c r="AX90" s="9">
        <v>41</v>
      </c>
      <c r="AY90" s="9" t="s">
        <v>1138</v>
      </c>
      <c r="AZ90" s="2" t="s">
        <v>786</v>
      </c>
      <c r="BA90" s="16"/>
      <c r="BB90" s="16"/>
      <c r="BC90" s="16"/>
      <c r="BD90" s="16"/>
      <c r="BE90" s="16"/>
      <c r="BF90" s="16"/>
      <c r="BG90" s="16"/>
    </row>
    <row r="91" spans="1:59">
      <c r="A91" s="2" t="s">
        <v>90</v>
      </c>
      <c r="B91" s="2" t="s">
        <v>90</v>
      </c>
      <c r="C91" s="2" t="s">
        <v>90</v>
      </c>
      <c r="D91" s="2" t="s">
        <v>271</v>
      </c>
      <c r="E91" s="2" t="s">
        <v>272</v>
      </c>
      <c r="F91" s="2" t="s">
        <v>1345</v>
      </c>
      <c r="G91" s="2">
        <f t="shared" si="51"/>
        <v>1.768362877308352</v>
      </c>
      <c r="H91" s="2">
        <f t="shared" si="33"/>
        <v>3.568201724066995</v>
      </c>
      <c r="I91" s="2">
        <f t="shared" si="46"/>
        <v>1.1205739312058498</v>
      </c>
      <c r="J91" s="2">
        <f t="shared" si="46"/>
        <v>1.424881636631067</v>
      </c>
      <c r="K91" s="2">
        <f t="shared" si="47"/>
        <v>1.568201724066995</v>
      </c>
      <c r="L91" s="2">
        <f t="shared" si="52"/>
        <v>1.173186268412274</v>
      </c>
      <c r="M91" s="2">
        <f t="shared" si="53"/>
        <v>2.1739143398014069</v>
      </c>
      <c r="N91" s="2">
        <v>1</v>
      </c>
      <c r="O91" s="12">
        <v>58.662812036859044</v>
      </c>
      <c r="P91" s="2">
        <v>3</v>
      </c>
      <c r="Q91" s="9" t="s">
        <v>305</v>
      </c>
      <c r="R91" s="9" t="s">
        <v>306</v>
      </c>
      <c r="S91" s="8">
        <v>3700</v>
      </c>
      <c r="T91" s="10">
        <v>1</v>
      </c>
      <c r="U91" s="9" t="s">
        <v>305</v>
      </c>
      <c r="V91" s="2" t="s">
        <v>310</v>
      </c>
      <c r="W91" s="9" t="s">
        <v>311</v>
      </c>
      <c r="X91" s="2">
        <f>8.4+0.6+1.1+3.1</f>
        <v>13.2</v>
      </c>
      <c r="Y91" s="2">
        <v>26.6</v>
      </c>
      <c r="AA91" s="2">
        <f>Y91+Z91</f>
        <v>26.6</v>
      </c>
      <c r="AC91" s="2">
        <v>2.7</v>
      </c>
      <c r="AD91" s="2">
        <f t="shared" si="48"/>
        <v>2.7</v>
      </c>
      <c r="AE91" s="9">
        <f t="shared" si="49"/>
        <v>29.3</v>
      </c>
      <c r="AF91" s="2">
        <v>11.2</v>
      </c>
      <c r="AG91" s="2">
        <v>37</v>
      </c>
      <c r="AH91" s="2">
        <v>37</v>
      </c>
      <c r="AI91" s="2">
        <v>0</v>
      </c>
      <c r="AJ91" s="9">
        <f>AG91</f>
        <v>37</v>
      </c>
      <c r="AK91" s="2">
        <v>0.3</v>
      </c>
      <c r="AL91" s="9">
        <f t="shared" si="50"/>
        <v>91</v>
      </c>
      <c r="AM91" s="9" t="s">
        <v>460</v>
      </c>
      <c r="AN91" s="9" t="s">
        <v>539</v>
      </c>
      <c r="AQ91" s="2">
        <f>AVERAGE(6,22,16.7)</f>
        <v>14.9</v>
      </c>
      <c r="AR91" s="2" t="s">
        <v>804</v>
      </c>
      <c r="AS91" s="2">
        <v>14.9</v>
      </c>
      <c r="AT91" s="2" t="s">
        <v>805</v>
      </c>
      <c r="AX91" s="2">
        <v>149.25</v>
      </c>
      <c r="AY91" s="2" t="s">
        <v>1139</v>
      </c>
      <c r="AZ91" s="2" t="s">
        <v>786</v>
      </c>
      <c r="BA91" s="16"/>
      <c r="BB91" s="16"/>
      <c r="BC91" s="16"/>
      <c r="BD91" s="16"/>
      <c r="BE91" s="16"/>
      <c r="BF91" s="16"/>
      <c r="BG91" s="16"/>
    </row>
    <row r="92" spans="1:59">
      <c r="A92" s="2" t="s">
        <v>91</v>
      </c>
      <c r="B92" s="2" t="s">
        <v>91</v>
      </c>
      <c r="C92" s="2" t="s">
        <v>91</v>
      </c>
      <c r="D92" s="2" t="s">
        <v>292</v>
      </c>
      <c r="E92" s="2" t="s">
        <v>272</v>
      </c>
      <c r="F92" s="2">
        <v>0</v>
      </c>
      <c r="G92" s="2">
        <f t="shared" si="51"/>
        <v>1.8591382972945307</v>
      </c>
      <c r="H92" s="2">
        <f t="shared" si="33"/>
        <v>3.8790958795000727</v>
      </c>
      <c r="J92" s="2">
        <f>LOG(Y92)</f>
        <v>0.99709500935659268</v>
      </c>
      <c r="K92" s="2">
        <f t="shared" si="47"/>
        <v>1.7669702304811907</v>
      </c>
      <c r="L92" s="2">
        <f t="shared" si="52"/>
        <v>0.92599926645615549</v>
      </c>
      <c r="M92" s="2">
        <f t="shared" si="53"/>
        <v>3.1478308499434595</v>
      </c>
      <c r="N92" s="2">
        <v>1</v>
      </c>
      <c r="O92" s="7">
        <v>72.3</v>
      </c>
      <c r="P92" s="8">
        <v>18</v>
      </c>
      <c r="Q92" s="11" t="s">
        <v>340</v>
      </c>
      <c r="R92" s="9" t="s">
        <v>306</v>
      </c>
      <c r="S92" s="10">
        <v>7570</v>
      </c>
      <c r="T92" s="10">
        <v>11</v>
      </c>
      <c r="U92" s="9" t="s">
        <v>305</v>
      </c>
      <c r="V92" s="2" t="s">
        <v>306</v>
      </c>
      <c r="W92" s="2" t="s">
        <v>349</v>
      </c>
      <c r="X92" s="2">
        <v>0</v>
      </c>
      <c r="Y92" s="2">
        <f>AVERAGE(5.4,21.4,3)</f>
        <v>9.9333333333333318</v>
      </c>
      <c r="Z92" s="2">
        <f>AVERAGE(22.1,49.9,10.7,20)</f>
        <v>25.675000000000001</v>
      </c>
      <c r="AA92" s="2">
        <f>Y92+Z92</f>
        <v>35.608333333333334</v>
      </c>
      <c r="AC92" s="2">
        <f>AVERAGE(7.2,5,5.9,10.7,1)</f>
        <v>5.96</v>
      </c>
      <c r="AD92" s="2">
        <f t="shared" si="48"/>
        <v>5.96</v>
      </c>
      <c r="AE92" s="9">
        <f t="shared" si="49"/>
        <v>41.568333333333335</v>
      </c>
      <c r="AG92" s="2">
        <v>58.475000000000001</v>
      </c>
      <c r="AH92" s="2">
        <f>AVERAGE(23.5+2.4,25,21)</f>
        <v>23.966666666666669</v>
      </c>
      <c r="AI92" s="2">
        <f>AVERAGE(2.4+0.4,40+5,6.4)</f>
        <v>18.066666666666666</v>
      </c>
      <c r="AJ92" s="9">
        <f>AK92+AG92</f>
        <v>58.475000000000001</v>
      </c>
      <c r="AK92" s="2">
        <v>0</v>
      </c>
      <c r="AL92" s="9">
        <f t="shared" si="50"/>
        <v>100.04333333333334</v>
      </c>
      <c r="AM92" s="9" t="s">
        <v>540</v>
      </c>
      <c r="AN92" s="2" t="s">
        <v>541</v>
      </c>
      <c r="AQ92" s="2">
        <f>AVERAGE(4.9,6.5,13.9)</f>
        <v>8.4333333333333336</v>
      </c>
      <c r="AR92" s="2" t="s">
        <v>806</v>
      </c>
      <c r="AS92" s="2">
        <v>8.4333333333333336</v>
      </c>
      <c r="AT92" s="9" t="s">
        <v>547</v>
      </c>
      <c r="AU92" s="9"/>
      <c r="AX92" s="2">
        <v>1405.5</v>
      </c>
      <c r="AY92" s="2" t="s">
        <v>1140</v>
      </c>
      <c r="AZ92" s="9" t="s">
        <v>547</v>
      </c>
      <c r="BA92" s="16"/>
      <c r="BB92" s="16"/>
      <c r="BC92" s="16"/>
      <c r="BD92" s="16"/>
      <c r="BE92" s="16"/>
      <c r="BF92" s="16"/>
      <c r="BG92" s="16"/>
    </row>
    <row r="93" spans="1:59">
      <c r="A93" s="2" t="s">
        <v>92</v>
      </c>
      <c r="B93" s="2" t="s">
        <v>92</v>
      </c>
      <c r="C93" s="2" t="s">
        <v>92</v>
      </c>
      <c r="D93" s="2" t="s">
        <v>292</v>
      </c>
      <c r="E93" s="2" t="s">
        <v>272</v>
      </c>
      <c r="F93" s="2">
        <v>0</v>
      </c>
      <c r="G93" s="2">
        <f t="shared" si="51"/>
        <v>1.8573318349685275</v>
      </c>
      <c r="H93" s="2">
        <f t="shared" si="33"/>
        <v>3.8753878954271497</v>
      </c>
      <c r="I93" s="2">
        <f>LOG(X93)</f>
        <v>0.17609125905568124</v>
      </c>
      <c r="J93" s="2">
        <f>LOG(Y93)</f>
        <v>1.3953263930693509</v>
      </c>
      <c r="K93" s="2">
        <f t="shared" si="47"/>
        <v>1.7428232880419006</v>
      </c>
      <c r="L93" s="2">
        <f t="shared" si="52"/>
        <v>0.97027533443240199</v>
      </c>
      <c r="M93" s="2">
        <f t="shared" si="53"/>
        <v>1.2041199826559248</v>
      </c>
      <c r="N93" s="2">
        <v>1</v>
      </c>
      <c r="O93" s="12">
        <v>71.999890338737728</v>
      </c>
      <c r="P93" s="2">
        <v>32</v>
      </c>
      <c r="Q93" s="9" t="s">
        <v>305</v>
      </c>
      <c r="R93" s="9" t="s">
        <v>308</v>
      </c>
      <c r="S93" s="8">
        <v>7505.6428571428569</v>
      </c>
      <c r="T93" s="10">
        <v>14</v>
      </c>
      <c r="U93" s="9" t="s">
        <v>305</v>
      </c>
      <c r="V93" s="9" t="s">
        <v>312</v>
      </c>
      <c r="W93" s="9" t="s">
        <v>311</v>
      </c>
      <c r="X93" s="9">
        <v>1.5</v>
      </c>
      <c r="Y93" s="2">
        <f>AVERAGE(14.6,13.6,31.1,2.6,37.4,17,29,53.5)</f>
        <v>24.85</v>
      </c>
      <c r="Z93" s="2">
        <f>AVERAGE(22,1.2,12,11,23.5,16.4)</f>
        <v>14.35</v>
      </c>
      <c r="AA93" s="2">
        <f>Y93+Z93</f>
        <v>39.200000000000003</v>
      </c>
      <c r="AB93" s="9"/>
      <c r="AC93" s="2">
        <f>AVERAGE(2.9,0.5,7,6,2.1,3.8)</f>
        <v>3.7166666666666668</v>
      </c>
      <c r="AD93" s="2">
        <f t="shared" si="48"/>
        <v>3.7166666666666668</v>
      </c>
      <c r="AE93" s="9">
        <f t="shared" si="49"/>
        <v>42.916666666666671</v>
      </c>
      <c r="AF93" s="9"/>
      <c r="AG93" s="2">
        <v>55.3125</v>
      </c>
      <c r="AH93" s="2">
        <f>AVERAGE(26.2,20.4,57.7)</f>
        <v>34.766666666666666</v>
      </c>
      <c r="AI93" s="2">
        <f>AVERAGE(3.8,46.8,6.6,12.4)</f>
        <v>17.399999999999999</v>
      </c>
      <c r="AJ93" s="9">
        <f t="shared" ref="AJ93:AJ101" si="54">AG93</f>
        <v>55.3125</v>
      </c>
      <c r="AK93" s="2">
        <f>0.3</f>
        <v>0.3</v>
      </c>
      <c r="AL93" s="9">
        <f t="shared" si="50"/>
        <v>100.02916666666667</v>
      </c>
      <c r="AM93" s="9" t="s">
        <v>542</v>
      </c>
      <c r="AN93" s="9" t="s">
        <v>543</v>
      </c>
      <c r="AO93" s="9"/>
      <c r="AP93" s="9"/>
      <c r="AQ93" s="9">
        <f>AVERAGE(5.4,6.2,6.9,7,7.3,7.8,7.8,8,9.8,11.4,12,12.8,19)</f>
        <v>9.3384615384615373</v>
      </c>
      <c r="AR93" s="9" t="s">
        <v>807</v>
      </c>
      <c r="AS93" s="9">
        <v>9.3384615384615373</v>
      </c>
      <c r="AT93" s="9" t="s">
        <v>547</v>
      </c>
      <c r="AU93" s="9"/>
      <c r="AV93" s="9"/>
      <c r="AW93" s="9"/>
      <c r="AX93" s="9">
        <v>16</v>
      </c>
      <c r="AY93" s="9" t="s">
        <v>1141</v>
      </c>
      <c r="AZ93" s="9" t="s">
        <v>547</v>
      </c>
      <c r="BA93" s="17"/>
      <c r="BB93" s="17"/>
      <c r="BC93" s="17"/>
      <c r="BD93" s="17"/>
      <c r="BE93" s="17"/>
      <c r="BF93" s="17"/>
      <c r="BG93" s="17"/>
    </row>
    <row r="94" spans="1:59">
      <c r="A94" s="2" t="s">
        <v>93</v>
      </c>
      <c r="B94" s="2" t="s">
        <v>93</v>
      </c>
      <c r="C94" s="2" t="s">
        <v>93</v>
      </c>
      <c r="D94" s="2" t="s">
        <v>292</v>
      </c>
      <c r="E94" s="2" t="s">
        <v>272</v>
      </c>
      <c r="F94" s="2">
        <v>0</v>
      </c>
      <c r="G94" s="2">
        <f t="shared" si="51"/>
        <v>1.8511072589131956</v>
      </c>
      <c r="H94" s="2">
        <f t="shared" si="33"/>
        <v>3.8266485441892701</v>
      </c>
      <c r="J94" s="2">
        <f>LOG(Y94)</f>
        <v>0.55110130708147953</v>
      </c>
      <c r="K94" s="2">
        <f t="shared" si="47"/>
        <v>1.7242758696007889</v>
      </c>
      <c r="L94" s="2">
        <f t="shared" si="52"/>
        <v>1.1335389083702174</v>
      </c>
      <c r="M94" s="2">
        <f t="shared" si="53"/>
        <v>1.7032913781186614</v>
      </c>
      <c r="N94" s="2">
        <v>1</v>
      </c>
      <c r="O94" s="12">
        <v>70.975303599587292</v>
      </c>
      <c r="P94" s="2">
        <v>28</v>
      </c>
      <c r="Q94" s="9" t="s">
        <v>305</v>
      </c>
      <c r="R94" s="9" t="s">
        <v>308</v>
      </c>
      <c r="S94" s="8">
        <v>6708.8571428571431</v>
      </c>
      <c r="T94" s="10">
        <v>7</v>
      </c>
      <c r="U94" s="9" t="s">
        <v>305</v>
      </c>
      <c r="V94" s="9" t="s">
        <v>312</v>
      </c>
      <c r="W94" s="9" t="s">
        <v>311</v>
      </c>
      <c r="X94" s="9">
        <v>0</v>
      </c>
      <c r="Y94" s="2">
        <f>(3/35)*41.5</f>
        <v>3.5571428571428574</v>
      </c>
      <c r="Z94" s="2">
        <f>(32/35)*41.5</f>
        <v>37.942857142857143</v>
      </c>
      <c r="AA94" s="2">
        <f>AVERAGE(35,48)</f>
        <v>41.5</v>
      </c>
      <c r="AB94" s="9"/>
      <c r="AC94" s="2">
        <f>AVERAGE(3,3)</f>
        <v>3</v>
      </c>
      <c r="AD94" s="2">
        <f t="shared" si="48"/>
        <v>3</v>
      </c>
      <c r="AE94" s="9">
        <f t="shared" si="49"/>
        <v>44.5</v>
      </c>
      <c r="AF94" s="9"/>
      <c r="AG94" s="2">
        <v>53</v>
      </c>
      <c r="AH94" s="2">
        <v>29</v>
      </c>
      <c r="AI94" s="2">
        <v>23</v>
      </c>
      <c r="AJ94" s="9">
        <f t="shared" si="54"/>
        <v>53</v>
      </c>
      <c r="AK94" s="2">
        <v>2.5</v>
      </c>
      <c r="AL94" s="9">
        <f t="shared" si="50"/>
        <v>100</v>
      </c>
      <c r="AM94" s="9" t="s">
        <v>544</v>
      </c>
      <c r="AN94" s="9" t="s">
        <v>545</v>
      </c>
      <c r="AO94" s="9"/>
      <c r="AP94" s="9"/>
      <c r="AQ94" s="9">
        <f>AVERAGE(11,16.2)</f>
        <v>13.6</v>
      </c>
      <c r="AR94" s="2" t="s">
        <v>808</v>
      </c>
      <c r="AS94" s="9">
        <v>13.6</v>
      </c>
      <c r="AT94" s="9" t="s">
        <v>547</v>
      </c>
      <c r="AU94" s="9"/>
      <c r="AV94" s="9"/>
      <c r="AW94" s="9"/>
      <c r="AX94" s="9">
        <v>50.5</v>
      </c>
      <c r="AY94" s="9" t="s">
        <v>1142</v>
      </c>
      <c r="AZ94" s="9" t="s">
        <v>547</v>
      </c>
      <c r="BA94" s="17"/>
      <c r="BB94" s="17"/>
      <c r="BC94" s="17"/>
      <c r="BD94" s="17"/>
      <c r="BE94" s="17"/>
      <c r="BF94" s="17"/>
      <c r="BG94" s="17"/>
    </row>
    <row r="95" spans="1:59">
      <c r="A95" s="2" t="s">
        <v>94</v>
      </c>
      <c r="B95" s="2" t="s">
        <v>94</v>
      </c>
      <c r="C95" s="2" t="s">
        <v>94</v>
      </c>
      <c r="D95" s="2" t="s">
        <v>292</v>
      </c>
      <c r="E95" s="2" t="s">
        <v>272</v>
      </c>
      <c r="F95" s="2">
        <v>0</v>
      </c>
      <c r="G95" s="2">
        <f t="shared" si="51"/>
        <v>1.8561244442423004</v>
      </c>
      <c r="H95" s="2">
        <f t="shared" si="33"/>
        <v>3.8704039052790269</v>
      </c>
      <c r="J95" s="2">
        <f>LOG(Y95)</f>
        <v>0.63682209758717434</v>
      </c>
      <c r="K95" s="2">
        <f t="shared" si="47"/>
        <v>1.5357159699855099</v>
      </c>
      <c r="L95" s="2">
        <f t="shared" si="52"/>
        <v>1.1356626020000731</v>
      </c>
      <c r="M95" s="2">
        <f t="shared" si="53"/>
        <v>2.2648178230095364</v>
      </c>
      <c r="N95" s="2">
        <v>1</v>
      </c>
      <c r="O95" s="7">
        <v>71.8</v>
      </c>
      <c r="P95" s="8">
        <v>4</v>
      </c>
      <c r="Q95" s="11" t="s">
        <v>340</v>
      </c>
      <c r="R95" s="9" t="s">
        <v>306</v>
      </c>
      <c r="S95" s="10">
        <v>7420</v>
      </c>
      <c r="T95" s="10">
        <v>5</v>
      </c>
      <c r="U95" s="9" t="s">
        <v>305</v>
      </c>
      <c r="V95" s="2" t="s">
        <v>306</v>
      </c>
      <c r="W95" s="2" t="s">
        <v>350</v>
      </c>
      <c r="X95" s="2">
        <v>0</v>
      </c>
      <c r="Y95" s="2">
        <f>AVERAGE(0,4,9)</f>
        <v>4.333333333333333</v>
      </c>
      <c r="Z95" s="2">
        <f>AVERAGE(53,60,41)</f>
        <v>51.333333333333336</v>
      </c>
      <c r="AA95" s="2">
        <f t="shared" ref="AA95:AA101" si="55">Y95+Z95</f>
        <v>55.666666666666671</v>
      </c>
      <c r="AC95" s="2">
        <f>AVERAGE(3,5,12)</f>
        <v>6.666666666666667</v>
      </c>
      <c r="AD95" s="2">
        <f t="shared" si="48"/>
        <v>6.666666666666667</v>
      </c>
      <c r="AE95" s="9">
        <f t="shared" si="49"/>
        <v>62.333333333333336</v>
      </c>
      <c r="AG95" s="2">
        <v>34.333333333333336</v>
      </c>
      <c r="AH95" s="2">
        <f>AVERAGE(21,23,35)</f>
        <v>26.333333333333332</v>
      </c>
      <c r="AI95" s="2">
        <f>AVERAGE(18,3,3)</f>
        <v>8</v>
      </c>
      <c r="AJ95" s="9">
        <f t="shared" si="54"/>
        <v>34.333333333333336</v>
      </c>
      <c r="AK95" s="2">
        <f>AVERAGE(5,4,0)+0.3</f>
        <v>3.3</v>
      </c>
      <c r="AL95" s="9">
        <f t="shared" si="50"/>
        <v>99.966666666666669</v>
      </c>
      <c r="AM95" s="9" t="s">
        <v>546</v>
      </c>
      <c r="AN95" s="9" t="s">
        <v>547</v>
      </c>
      <c r="AQ95" s="2">
        <f>AVERAGE(9,15,17)</f>
        <v>13.666666666666666</v>
      </c>
      <c r="AR95" s="9" t="s">
        <v>809</v>
      </c>
      <c r="AS95" s="2">
        <v>13.666666666666666</v>
      </c>
      <c r="AT95" s="9" t="s">
        <v>547</v>
      </c>
      <c r="AU95" s="9"/>
      <c r="AX95" s="2">
        <v>184</v>
      </c>
      <c r="AY95" s="9" t="s">
        <v>1143</v>
      </c>
      <c r="AZ95" s="9" t="s">
        <v>547</v>
      </c>
      <c r="BA95" s="16"/>
      <c r="BB95" s="16"/>
      <c r="BC95" s="16"/>
      <c r="BD95" s="16"/>
      <c r="BE95" s="16"/>
      <c r="BF95" s="16"/>
      <c r="BG95" s="16"/>
    </row>
    <row r="96" spans="1:59">
      <c r="A96" s="2" t="s">
        <v>95</v>
      </c>
      <c r="B96" s="2" t="s">
        <v>95</v>
      </c>
      <c r="C96" s="2" t="s">
        <v>95</v>
      </c>
      <c r="D96" s="2" t="s">
        <v>292</v>
      </c>
      <c r="E96" s="2" t="s">
        <v>272</v>
      </c>
      <c r="F96" s="2">
        <v>0</v>
      </c>
      <c r="G96" s="2">
        <f t="shared" si="51"/>
        <v>1.8488366614523293</v>
      </c>
      <c r="H96" s="2">
        <f t="shared" si="33"/>
        <v>3.858537197569639</v>
      </c>
      <c r="J96" s="2">
        <f>LOG(Y96)</f>
        <v>1.0293837776852097</v>
      </c>
      <c r="K96" s="2">
        <f t="shared" si="47"/>
        <v>1.8976270912904414</v>
      </c>
      <c r="L96" s="2">
        <f t="shared" si="52"/>
        <v>1.1804126328383238</v>
      </c>
      <c r="M96" s="2">
        <f t="shared" si="53"/>
        <v>1.4548448600085102</v>
      </c>
      <c r="N96" s="2">
        <v>1</v>
      </c>
      <c r="O96" s="12">
        <v>70.605195754031641</v>
      </c>
      <c r="P96" s="2">
        <v>8</v>
      </c>
      <c r="Q96" s="9" t="s">
        <v>305</v>
      </c>
      <c r="R96" s="9" t="s">
        <v>308</v>
      </c>
      <c r="S96" s="8">
        <v>7220</v>
      </c>
      <c r="T96" s="10">
        <v>5</v>
      </c>
      <c r="U96" s="9" t="s">
        <v>305</v>
      </c>
      <c r="V96" s="9" t="s">
        <v>312</v>
      </c>
      <c r="W96" s="9" t="s">
        <v>311</v>
      </c>
      <c r="X96" s="2">
        <v>0</v>
      </c>
      <c r="Y96" s="2">
        <v>10.7</v>
      </c>
      <c r="Z96" s="2">
        <v>4</v>
      </c>
      <c r="AA96" s="9">
        <f t="shared" si="55"/>
        <v>14.7</v>
      </c>
      <c r="AC96" s="2">
        <v>6</v>
      </c>
      <c r="AD96" s="2">
        <f t="shared" si="48"/>
        <v>6</v>
      </c>
      <c r="AE96" s="9">
        <f t="shared" si="49"/>
        <v>20.7</v>
      </c>
      <c r="AG96" s="2">
        <v>79</v>
      </c>
      <c r="AH96" s="2">
        <v>40</v>
      </c>
      <c r="AI96" s="2">
        <v>34</v>
      </c>
      <c r="AJ96" s="9">
        <f t="shared" si="54"/>
        <v>79</v>
      </c>
      <c r="AK96" s="2">
        <v>0.3</v>
      </c>
      <c r="AL96" s="9">
        <f t="shared" si="50"/>
        <v>100</v>
      </c>
      <c r="AN96" s="9" t="s">
        <v>548</v>
      </c>
      <c r="AQ96" s="2">
        <f>AVERAGE(14.3,16)</f>
        <v>15.15</v>
      </c>
      <c r="AR96" s="9" t="s">
        <v>810</v>
      </c>
      <c r="AS96" s="2">
        <v>15.15</v>
      </c>
      <c r="AT96" s="9" t="s">
        <v>547</v>
      </c>
      <c r="AU96" s="9"/>
      <c r="AX96" s="2">
        <v>28.5</v>
      </c>
      <c r="AY96" s="9" t="s">
        <v>1144</v>
      </c>
      <c r="AZ96" s="9" t="s">
        <v>547</v>
      </c>
      <c r="BA96" s="16"/>
      <c r="BB96" s="16"/>
      <c r="BC96" s="16"/>
      <c r="BD96" s="16"/>
      <c r="BE96" s="16"/>
      <c r="BF96" s="16"/>
      <c r="BG96" s="16"/>
    </row>
    <row r="97" spans="1:59">
      <c r="A97" s="2" t="s">
        <v>96</v>
      </c>
      <c r="B97" s="2" t="s">
        <v>96</v>
      </c>
      <c r="C97" s="2" t="s">
        <v>96</v>
      </c>
      <c r="E97" s="2" t="s">
        <v>293</v>
      </c>
      <c r="F97" s="2">
        <v>0</v>
      </c>
      <c r="G97" s="2">
        <f t="shared" si="51"/>
        <v>1.6503040939801441</v>
      </c>
      <c r="H97" s="2">
        <f t="shared" si="33"/>
        <v>3.414095520623492</v>
      </c>
      <c r="I97" s="2">
        <f>LOG(X97)</f>
        <v>1.4742162640762553</v>
      </c>
      <c r="L97" s="2">
        <f t="shared" si="52"/>
        <v>0</v>
      </c>
      <c r="M97" s="2">
        <f t="shared" si="53"/>
        <v>2.0126263509540503</v>
      </c>
      <c r="N97" s="2">
        <v>0</v>
      </c>
      <c r="O97" s="12">
        <v>44.699647054046608</v>
      </c>
      <c r="P97" s="2">
        <v>11</v>
      </c>
      <c r="Q97" s="2" t="s">
        <v>316</v>
      </c>
      <c r="R97" s="9" t="s">
        <v>306</v>
      </c>
      <c r="S97" s="13">
        <v>2594.75</v>
      </c>
      <c r="T97" s="8">
        <v>20</v>
      </c>
      <c r="U97" s="9" t="s">
        <v>316</v>
      </c>
      <c r="V97" s="2" t="s">
        <v>351</v>
      </c>
      <c r="W97" s="2" t="s">
        <v>328</v>
      </c>
      <c r="X97" s="2">
        <v>29.8</v>
      </c>
      <c r="Y97" s="2">
        <v>0</v>
      </c>
      <c r="Z97" s="9">
        <v>46.2</v>
      </c>
      <c r="AA97" s="2">
        <f t="shared" si="55"/>
        <v>46.2</v>
      </c>
      <c r="AB97" s="9"/>
      <c r="AC97" s="2">
        <v>7</v>
      </c>
      <c r="AD97" s="2">
        <f t="shared" si="48"/>
        <v>7</v>
      </c>
      <c r="AE97" s="9">
        <f t="shared" si="49"/>
        <v>53.2</v>
      </c>
      <c r="AF97" s="9">
        <v>17</v>
      </c>
      <c r="AG97" s="9">
        <v>0</v>
      </c>
      <c r="AH97" s="9"/>
      <c r="AI97" s="9"/>
      <c r="AJ97" s="9">
        <f t="shared" si="54"/>
        <v>0</v>
      </c>
      <c r="AK97" s="9">
        <v>0</v>
      </c>
      <c r="AL97" s="9">
        <f t="shared" si="50"/>
        <v>100</v>
      </c>
      <c r="AM97" s="9" t="s">
        <v>460</v>
      </c>
      <c r="AN97" s="2" t="s">
        <v>549</v>
      </c>
      <c r="AO97" s="2">
        <v>1</v>
      </c>
      <c r="AQ97" s="9">
        <v>1</v>
      </c>
      <c r="AR97" s="9" t="s">
        <v>811</v>
      </c>
      <c r="AS97" s="9">
        <v>1</v>
      </c>
      <c r="AT97" s="9" t="s">
        <v>795</v>
      </c>
      <c r="AU97" s="9" t="s">
        <v>1145</v>
      </c>
      <c r="AV97" s="9">
        <v>170.3</v>
      </c>
      <c r="AW97" s="9">
        <v>35.6</v>
      </c>
      <c r="AX97" s="9">
        <v>102.95</v>
      </c>
      <c r="AY97" s="9" t="s">
        <v>1146</v>
      </c>
      <c r="AZ97" s="9" t="s">
        <v>1147</v>
      </c>
      <c r="BA97" s="17"/>
      <c r="BB97" s="17"/>
      <c r="BC97" s="17"/>
      <c r="BD97" s="17"/>
      <c r="BE97" s="17"/>
      <c r="BF97" s="16"/>
      <c r="BG97" s="17"/>
    </row>
    <row r="98" spans="1:59">
      <c r="A98" s="2" t="s">
        <v>97</v>
      </c>
      <c r="B98" s="2" t="s">
        <v>97</v>
      </c>
      <c r="C98" s="2" t="s">
        <v>97</v>
      </c>
      <c r="D98" s="2" t="s">
        <v>271</v>
      </c>
      <c r="E98" s="2" t="s">
        <v>272</v>
      </c>
      <c r="F98" s="2">
        <v>1</v>
      </c>
      <c r="G98" s="2">
        <f t="shared" si="51"/>
        <v>1.9423798696961012</v>
      </c>
      <c r="H98" s="2">
        <f t="shared" si="33"/>
        <v>3.8129133566428557</v>
      </c>
      <c r="I98" s="2">
        <f>LOG(X98)</f>
        <v>1.5056021329488829</v>
      </c>
      <c r="J98" s="2">
        <f>LOG(Y98)</f>
        <v>1.2430380486862944</v>
      </c>
      <c r="K98" s="2">
        <f>LOG(AG98)</f>
        <v>0.40936947045281946</v>
      </c>
      <c r="L98" s="2">
        <f t="shared" si="52"/>
        <v>1.3979400086720377</v>
      </c>
      <c r="M98" s="2">
        <f t="shared" si="53"/>
        <v>3.5051499783199058</v>
      </c>
      <c r="N98" s="2">
        <v>1</v>
      </c>
      <c r="O98" s="12">
        <v>87.574944285714281</v>
      </c>
      <c r="P98" s="2">
        <v>7</v>
      </c>
      <c r="Q98" s="9" t="s">
        <v>305</v>
      </c>
      <c r="R98" s="9" t="s">
        <v>306</v>
      </c>
      <c r="S98" s="13">
        <v>6500</v>
      </c>
      <c r="T98" s="8">
        <v>14</v>
      </c>
      <c r="U98" s="9" t="s">
        <v>305</v>
      </c>
      <c r="V98" s="2" t="s">
        <v>306</v>
      </c>
      <c r="W98" s="2" t="s">
        <v>352</v>
      </c>
      <c r="X98" s="9">
        <f>AVERAGE(35.6+1.6+2.2,41.1+5.1+0.5,10)</f>
        <v>32.033333333333339</v>
      </c>
      <c r="Y98" s="9">
        <f>AVERAGE(0,35)</f>
        <v>17.5</v>
      </c>
      <c r="Z98" s="9">
        <f>AVERAGE(4.8,6.9,10)</f>
        <v>7.2333333333333334</v>
      </c>
      <c r="AA98" s="9">
        <f t="shared" si="55"/>
        <v>24.733333333333334</v>
      </c>
      <c r="AB98" s="9"/>
      <c r="AC98" s="9">
        <f>AVERAGE(7,6.2,5)</f>
        <v>6.0666666666666664</v>
      </c>
      <c r="AD98" s="2">
        <f t="shared" si="48"/>
        <v>6.0666666666666664</v>
      </c>
      <c r="AE98" s="9">
        <f t="shared" si="49"/>
        <v>30.8</v>
      </c>
      <c r="AF98" s="9">
        <f>AVERAGE(44.3,34.4,25)</f>
        <v>34.566666666666663</v>
      </c>
      <c r="AG98" s="9">
        <v>2.5666666666666669</v>
      </c>
      <c r="AH98" s="9"/>
      <c r="AI98" s="9"/>
      <c r="AJ98" s="9">
        <f t="shared" si="54"/>
        <v>2.5666666666666669</v>
      </c>
      <c r="AK98" s="9">
        <v>0</v>
      </c>
      <c r="AL98" s="9">
        <f t="shared" si="50"/>
        <v>99.966666666666669</v>
      </c>
      <c r="AM98" s="9" t="s">
        <v>458</v>
      </c>
      <c r="AN98" s="9" t="s">
        <v>550</v>
      </c>
      <c r="AO98" s="9"/>
      <c r="AP98" s="9"/>
      <c r="AQ98" s="9">
        <f>AVERAGE(19.5,50.5,21,21,21,21,21)</f>
        <v>25</v>
      </c>
      <c r="AR98" s="9" t="s">
        <v>812</v>
      </c>
      <c r="AS98" s="9">
        <v>25</v>
      </c>
      <c r="AT98" s="9" t="s">
        <v>813</v>
      </c>
      <c r="AU98" s="9"/>
      <c r="AV98" s="9"/>
      <c r="AW98" s="9"/>
      <c r="AX98" s="9">
        <v>3200</v>
      </c>
      <c r="AY98" s="9" t="s">
        <v>1148</v>
      </c>
      <c r="AZ98" s="9" t="s">
        <v>813</v>
      </c>
      <c r="BA98" s="17"/>
      <c r="BB98" s="17"/>
      <c r="BC98" s="17"/>
      <c r="BD98" s="17"/>
      <c r="BE98" s="17"/>
      <c r="BF98" s="17"/>
      <c r="BG98" s="17"/>
    </row>
    <row r="99" spans="1:59">
      <c r="A99" s="2" t="s">
        <v>98</v>
      </c>
      <c r="B99" s="2" t="s">
        <v>1391</v>
      </c>
      <c r="C99" s="2" t="s">
        <v>98</v>
      </c>
      <c r="E99" s="2" t="s">
        <v>294</v>
      </c>
      <c r="F99" s="2">
        <v>0</v>
      </c>
      <c r="G99" s="2">
        <f t="shared" si="51"/>
        <v>1.362094983903781</v>
      </c>
      <c r="H99" s="2">
        <f t="shared" si="33"/>
        <v>3.3387054443032551</v>
      </c>
      <c r="J99" s="2">
        <f>LOG(Y99)</f>
        <v>1.7611381776878017</v>
      </c>
      <c r="K99" s="2">
        <f>LOG(AG99)</f>
        <v>0.91487181754005031</v>
      </c>
      <c r="L99" s="2">
        <f t="shared" si="52"/>
        <v>0.87506126339170009</v>
      </c>
      <c r="M99" s="2">
        <f t="shared" si="53"/>
        <v>1.1172712956557642</v>
      </c>
      <c r="N99" s="2">
        <v>1</v>
      </c>
      <c r="O99" s="12">
        <v>23.019452173913045</v>
      </c>
      <c r="P99" s="2">
        <v>23</v>
      </c>
      <c r="Q99" s="2" t="s">
        <v>316</v>
      </c>
      <c r="R99" s="9" t="s">
        <v>308</v>
      </c>
      <c r="S99" s="13">
        <v>2181.25</v>
      </c>
      <c r="T99" s="8">
        <v>10</v>
      </c>
      <c r="U99" s="9" t="s">
        <v>316</v>
      </c>
      <c r="V99" s="15" t="s">
        <v>353</v>
      </c>
      <c r="W99" s="2"/>
      <c r="X99" s="9"/>
      <c r="Y99" s="12">
        <f>AVERAGE(46.5,68.89)</f>
        <v>57.695</v>
      </c>
      <c r="Z99" s="9">
        <f>AVERAGE(0.94,0)</f>
        <v>0.47</v>
      </c>
      <c r="AA99" s="2">
        <f t="shared" si="55"/>
        <v>58.164999999999999</v>
      </c>
      <c r="AB99" s="9">
        <f>AVERAGE(40.24,0)</f>
        <v>20.12</v>
      </c>
      <c r="AC99" s="12">
        <f>AVERAGE(0.86,13.06)</f>
        <v>6.96</v>
      </c>
      <c r="AD99" s="2">
        <f t="shared" si="48"/>
        <v>27.080000000000002</v>
      </c>
      <c r="AE99" s="9">
        <f t="shared" si="49"/>
        <v>85.245000000000005</v>
      </c>
      <c r="AF99" s="9"/>
      <c r="AG99" s="9">
        <v>8.2199999999999989</v>
      </c>
      <c r="AH99" s="12">
        <f>AVERAGE(2.89,6.46)</f>
        <v>4.6749999999999998</v>
      </c>
      <c r="AI99" s="12">
        <f>AVERAGE(1.77,5.32)</f>
        <v>3.5449999999999999</v>
      </c>
      <c r="AJ99" s="9">
        <f t="shared" si="54"/>
        <v>8.2199999999999989</v>
      </c>
      <c r="AK99" s="12">
        <v>6.53</v>
      </c>
      <c r="AL99" s="9">
        <f t="shared" si="50"/>
        <v>99.995000000000005</v>
      </c>
      <c r="AM99" s="9" t="s">
        <v>458</v>
      </c>
      <c r="AN99" s="2" t="s">
        <v>551</v>
      </c>
      <c r="AO99" s="9"/>
      <c r="AP99" s="9"/>
      <c r="AQ99" s="9">
        <f>AVERAGE(6,9)</f>
        <v>7.5</v>
      </c>
      <c r="AR99" s="9" t="s">
        <v>814</v>
      </c>
      <c r="AS99" s="9">
        <v>7.5</v>
      </c>
      <c r="AT99" s="9" t="s">
        <v>815</v>
      </c>
      <c r="AU99" s="9"/>
      <c r="AV99" s="9">
        <v>11.5</v>
      </c>
      <c r="AW99" s="9">
        <v>11.3</v>
      </c>
      <c r="AX99" s="9">
        <v>13.1</v>
      </c>
      <c r="AY99" s="9"/>
      <c r="AZ99" s="9" t="s">
        <v>1149</v>
      </c>
      <c r="BA99" s="17"/>
      <c r="BB99" s="17"/>
      <c r="BC99" s="17"/>
      <c r="BD99" s="17"/>
      <c r="BE99" s="17"/>
      <c r="BF99" s="16"/>
      <c r="BG99" s="17"/>
    </row>
    <row r="100" spans="1:59">
      <c r="A100" s="2" t="s">
        <v>99</v>
      </c>
      <c r="B100" s="2" t="s">
        <v>1392</v>
      </c>
      <c r="C100" s="2" t="s">
        <v>99</v>
      </c>
      <c r="E100" s="2" t="s">
        <v>294</v>
      </c>
      <c r="F100" s="2">
        <v>0</v>
      </c>
      <c r="G100" s="2">
        <f t="shared" si="51"/>
        <v>1.3595564982730557</v>
      </c>
      <c r="H100" s="2">
        <f t="shared" si="33"/>
        <v>3.3311234878466514</v>
      </c>
      <c r="I100" s="2">
        <f>LOG(X100)</f>
        <v>0.51851393987788741</v>
      </c>
      <c r="J100" s="2">
        <f>LOG(Y100)</f>
        <v>1.8943160626844384</v>
      </c>
      <c r="K100" s="2">
        <f>LOG(AG100)</f>
        <v>0.64345267648618742</v>
      </c>
      <c r="L100" s="2">
        <f t="shared" si="52"/>
        <v>0.84509804001425681</v>
      </c>
      <c r="M100" s="2">
        <f t="shared" si="53"/>
        <v>1.7686381012476144</v>
      </c>
      <c r="N100" s="2">
        <v>1</v>
      </c>
      <c r="O100" s="12">
        <v>22.885294117647064</v>
      </c>
      <c r="P100" s="2">
        <v>34</v>
      </c>
      <c r="Q100" s="2" t="s">
        <v>316</v>
      </c>
      <c r="R100" s="9" t="s">
        <v>308</v>
      </c>
      <c r="S100" s="10">
        <v>2143.5</v>
      </c>
      <c r="T100" s="10">
        <v>21</v>
      </c>
      <c r="U100" s="9" t="s">
        <v>316</v>
      </c>
      <c r="V100" s="2" t="s">
        <v>354</v>
      </c>
      <c r="W100" s="2"/>
      <c r="X100" s="2">
        <v>3.3</v>
      </c>
      <c r="Y100" s="2">
        <v>78.400000000000006</v>
      </c>
      <c r="AA100" s="2">
        <f t="shared" si="55"/>
        <v>78.400000000000006</v>
      </c>
      <c r="AC100" s="2">
        <v>14</v>
      </c>
      <c r="AD100" s="2">
        <f t="shared" si="48"/>
        <v>14</v>
      </c>
      <c r="AE100" s="9">
        <f t="shared" si="49"/>
        <v>92.4</v>
      </c>
      <c r="AG100" s="9">
        <v>4.4000000000000004</v>
      </c>
      <c r="AH100" s="2">
        <v>3.2</v>
      </c>
      <c r="AI100" s="2">
        <v>1.2</v>
      </c>
      <c r="AJ100" s="9">
        <f t="shared" si="54"/>
        <v>4.4000000000000004</v>
      </c>
      <c r="AL100" s="9">
        <f t="shared" si="50"/>
        <v>100.10000000000001</v>
      </c>
      <c r="AM100" s="9" t="s">
        <v>460</v>
      </c>
      <c r="AN100" s="9" t="s">
        <v>354</v>
      </c>
      <c r="AQ100" s="2">
        <v>7</v>
      </c>
      <c r="AR100" s="9" t="s">
        <v>816</v>
      </c>
      <c r="AS100" s="9">
        <v>7</v>
      </c>
      <c r="AT100" s="9" t="s">
        <v>817</v>
      </c>
      <c r="AU100" s="9"/>
      <c r="AX100" s="2">
        <v>58.7</v>
      </c>
      <c r="AZ100" s="9" t="s">
        <v>1150</v>
      </c>
      <c r="BA100" s="16"/>
      <c r="BB100" s="16"/>
      <c r="BC100" s="16"/>
      <c r="BD100" s="16"/>
      <c r="BE100" s="16"/>
      <c r="BF100" s="16"/>
      <c r="BG100" s="16"/>
    </row>
    <row r="101" spans="1:59">
      <c r="A101" s="2" t="s">
        <v>100</v>
      </c>
      <c r="B101" s="2" t="s">
        <v>100</v>
      </c>
      <c r="C101" s="2" t="s">
        <v>100</v>
      </c>
      <c r="E101" s="2" t="s">
        <v>294</v>
      </c>
      <c r="F101" s="2">
        <v>0</v>
      </c>
      <c r="G101" s="2">
        <f t="shared" si="51"/>
        <v>1.2963093324683925</v>
      </c>
      <c r="H101" s="2">
        <f t="shared" si="33"/>
        <v>3.0718820073061255</v>
      </c>
      <c r="I101" s="2">
        <f>LOG(X101)</f>
        <v>-0.15490195998574319</v>
      </c>
      <c r="J101" s="2">
        <f>LOG(Y101)</f>
        <v>1.9130186837479601</v>
      </c>
      <c r="K101" s="2">
        <f>LOG(AG101)</f>
        <v>0.52113808370403625</v>
      </c>
      <c r="L101" s="2">
        <f t="shared" si="52"/>
        <v>0.74036268949424389</v>
      </c>
      <c r="M101" s="2">
        <f t="shared" si="53"/>
        <v>0.89014146006457739</v>
      </c>
      <c r="N101" s="2">
        <v>1</v>
      </c>
      <c r="O101" s="12">
        <v>19.783782666666664</v>
      </c>
      <c r="P101" s="2">
        <v>15</v>
      </c>
      <c r="Q101" s="2" t="s">
        <v>316</v>
      </c>
      <c r="R101" s="9" t="s">
        <v>308</v>
      </c>
      <c r="S101" s="13">
        <v>1180</v>
      </c>
      <c r="T101" s="8">
        <v>4</v>
      </c>
      <c r="U101" s="9" t="s">
        <v>316</v>
      </c>
      <c r="V101" s="2" t="s">
        <v>306</v>
      </c>
      <c r="W101" s="2" t="s">
        <v>355</v>
      </c>
      <c r="X101" s="2">
        <v>0.7</v>
      </c>
      <c r="Y101" s="2">
        <v>81.849999999999994</v>
      </c>
      <c r="AA101" s="2">
        <f t="shared" si="55"/>
        <v>81.849999999999994</v>
      </c>
      <c r="AB101" s="2">
        <v>0.7</v>
      </c>
      <c r="AC101" s="2">
        <v>13.46</v>
      </c>
      <c r="AD101" s="2">
        <f t="shared" si="48"/>
        <v>14.16</v>
      </c>
      <c r="AE101" s="9">
        <f t="shared" si="49"/>
        <v>96.009999999999991</v>
      </c>
      <c r="AG101" s="2">
        <v>3.32</v>
      </c>
      <c r="AJ101" s="9">
        <f t="shared" si="54"/>
        <v>3.32</v>
      </c>
      <c r="AK101" s="9">
        <v>0</v>
      </c>
      <c r="AL101" s="9">
        <f t="shared" si="50"/>
        <v>100.02999999999999</v>
      </c>
      <c r="AM101" s="9" t="s">
        <v>460</v>
      </c>
      <c r="AN101" s="9" t="s">
        <v>553</v>
      </c>
      <c r="AQ101" s="2">
        <v>5.5</v>
      </c>
      <c r="AR101" s="2" t="s">
        <v>818</v>
      </c>
      <c r="AS101" s="2">
        <v>5.5</v>
      </c>
      <c r="AT101" s="9" t="s">
        <v>819</v>
      </c>
      <c r="AU101" s="9"/>
      <c r="AX101" s="2">
        <v>7.7650000000000006</v>
      </c>
      <c r="AY101" s="2" t="s">
        <v>1151</v>
      </c>
      <c r="AZ101" s="9" t="s">
        <v>1152</v>
      </c>
      <c r="BA101" s="16"/>
      <c r="BB101" s="16"/>
      <c r="BC101" s="16"/>
      <c r="BD101" s="16"/>
      <c r="BE101" s="16"/>
      <c r="BF101" s="16"/>
      <c r="BG101" s="16"/>
    </row>
    <row r="102" spans="1:59">
      <c r="A102" s="2" t="s">
        <v>1348</v>
      </c>
      <c r="E102" s="2" t="s">
        <v>294</v>
      </c>
      <c r="F102" s="2">
        <v>0</v>
      </c>
      <c r="L102" s="2">
        <f t="shared" si="52"/>
        <v>0.92941892571429274</v>
      </c>
      <c r="M102" s="2">
        <f t="shared" si="53"/>
        <v>1.0791812460476249</v>
      </c>
      <c r="N102" s="2">
        <v>1</v>
      </c>
      <c r="Q102" s="2"/>
      <c r="R102" s="9"/>
      <c r="S102" s="13"/>
      <c r="T102" s="8"/>
      <c r="U102" s="9"/>
      <c r="V102" s="2"/>
      <c r="W102" s="2"/>
      <c r="AE102" s="9"/>
      <c r="AJ102" s="9"/>
      <c r="AK102" s="9"/>
      <c r="AL102" s="9"/>
      <c r="AM102" s="9"/>
      <c r="AN102" s="9"/>
      <c r="AQ102" s="2">
        <v>8.5</v>
      </c>
      <c r="AR102" s="2" t="s">
        <v>820</v>
      </c>
      <c r="AS102" s="2">
        <v>8.5</v>
      </c>
      <c r="AT102" s="9" t="s">
        <v>612</v>
      </c>
      <c r="AU102" s="9"/>
      <c r="AX102" s="2">
        <v>12</v>
      </c>
      <c r="AY102" s="2" t="s">
        <v>968</v>
      </c>
      <c r="AZ102" s="9" t="s">
        <v>612</v>
      </c>
      <c r="BA102" s="16"/>
      <c r="BB102" s="16"/>
      <c r="BC102" s="16"/>
      <c r="BD102" s="16"/>
      <c r="BE102" s="16"/>
      <c r="BF102" s="16"/>
      <c r="BG102" s="16"/>
    </row>
    <row r="103" spans="1:59">
      <c r="A103" s="2" t="s">
        <v>101</v>
      </c>
      <c r="B103" s="2" t="s">
        <v>1393</v>
      </c>
      <c r="C103" s="2" t="s">
        <v>101</v>
      </c>
      <c r="E103" s="2" t="s">
        <v>294</v>
      </c>
      <c r="F103" s="2">
        <v>0</v>
      </c>
      <c r="G103" s="2">
        <f>LOG(O103)</f>
        <v>1.3919531562896648</v>
      </c>
      <c r="H103" s="2">
        <f t="shared" si="33"/>
        <v>3.2508079879608007</v>
      </c>
      <c r="J103" s="2">
        <f t="shared" ref="J103:J108" si="56">LOG(Y103)</f>
        <v>1.808987011128131</v>
      </c>
      <c r="K103" s="2">
        <f t="shared" ref="K103:K108" si="57">LOG(AG103)</f>
        <v>1.3219089735475089</v>
      </c>
      <c r="L103" s="2">
        <f t="shared" si="52"/>
        <v>1.0606978403536116</v>
      </c>
      <c r="M103" s="2">
        <f t="shared" si="53"/>
        <v>1.1303337684950061</v>
      </c>
      <c r="N103" s="2">
        <v>1</v>
      </c>
      <c r="O103" s="12">
        <v>24.657733605585513</v>
      </c>
      <c r="P103" s="2">
        <v>20</v>
      </c>
      <c r="Q103" s="2" t="s">
        <v>316</v>
      </c>
      <c r="R103" s="9" t="s">
        <v>308</v>
      </c>
      <c r="S103" s="13">
        <v>1781.590909090909</v>
      </c>
      <c r="T103" s="8">
        <v>11</v>
      </c>
      <c r="U103" s="9" t="s">
        <v>316</v>
      </c>
      <c r="V103" s="2" t="s">
        <v>356</v>
      </c>
      <c r="W103" s="2"/>
      <c r="X103" s="9">
        <v>0</v>
      </c>
      <c r="Y103" s="9">
        <f>AVERAGE(56.93,71.9)</f>
        <v>64.415000000000006</v>
      </c>
      <c r="Z103" s="9"/>
      <c r="AA103" s="2">
        <f t="shared" ref="AA103:AA108" si="58">Y103+Z103</f>
        <v>64.415000000000006</v>
      </c>
      <c r="AB103" s="9"/>
      <c r="AC103" s="9">
        <f>AVERAGE(5.2,9.5)</f>
        <v>7.35</v>
      </c>
      <c r="AD103" s="2">
        <f t="shared" ref="AD103:AD108" si="59">AB103+AC103</f>
        <v>7.35</v>
      </c>
      <c r="AE103" s="9">
        <f t="shared" ref="AE103:AE108" si="60">AA103+AD103</f>
        <v>71.765000000000001</v>
      </c>
      <c r="AF103" s="9"/>
      <c r="AG103" s="9">
        <v>20.984999999999999</v>
      </c>
      <c r="AH103" s="9">
        <f>AVERAGE(7.12,9.5)</f>
        <v>8.31</v>
      </c>
      <c r="AI103" s="9">
        <f>AVERAGE(16.25,9.1)</f>
        <v>12.675000000000001</v>
      </c>
      <c r="AJ103" s="9">
        <f t="shared" ref="AJ103:AJ108" si="61">AG103</f>
        <v>20.984999999999999</v>
      </c>
      <c r="AK103" s="9">
        <f>AVERAGE(0,14.5)</f>
        <v>7.25</v>
      </c>
      <c r="AL103" s="9">
        <f t="shared" ref="AL103:AL108" si="62">SUM(X103+AA103+AD103+AF103+AG103+AK103)</f>
        <v>100</v>
      </c>
      <c r="AM103" s="9" t="s">
        <v>458</v>
      </c>
      <c r="AN103" s="2" t="s">
        <v>554</v>
      </c>
      <c r="AQ103" s="9">
        <v>11.5</v>
      </c>
      <c r="AR103" s="9" t="s">
        <v>821</v>
      </c>
      <c r="AS103" s="9">
        <v>11.5</v>
      </c>
      <c r="AT103" s="9" t="s">
        <v>822</v>
      </c>
      <c r="AU103" s="9"/>
      <c r="AV103" s="9"/>
      <c r="AW103" s="9"/>
      <c r="AX103" s="2">
        <v>13.5</v>
      </c>
      <c r="AY103" s="9" t="s">
        <v>1153</v>
      </c>
      <c r="AZ103" s="9" t="s">
        <v>795</v>
      </c>
      <c r="BA103" s="17"/>
      <c r="BB103" s="17"/>
      <c r="BC103" s="17"/>
      <c r="BD103" s="17"/>
      <c r="BE103" s="17"/>
      <c r="BF103" s="16"/>
      <c r="BG103" s="17"/>
    </row>
    <row r="104" spans="1:59">
      <c r="A104" s="2" t="s">
        <v>102</v>
      </c>
      <c r="B104" s="2" t="s">
        <v>1394</v>
      </c>
      <c r="C104" s="2" t="s">
        <v>102</v>
      </c>
      <c r="E104" s="2" t="s">
        <v>294</v>
      </c>
      <c r="F104" s="2">
        <v>0</v>
      </c>
      <c r="G104" s="2">
        <f>LOG(O104)</f>
        <v>1.3677739682779761</v>
      </c>
      <c r="H104" s="2">
        <f t="shared" si="33"/>
        <v>3.2865609305250216</v>
      </c>
      <c r="I104" s="2">
        <f>LOG(X104)</f>
        <v>-5.551732784983137E-2</v>
      </c>
      <c r="J104" s="2">
        <f t="shared" si="56"/>
        <v>1.8491121661845775</v>
      </c>
      <c r="K104" s="2">
        <f t="shared" si="57"/>
        <v>1.2624510897304293</v>
      </c>
      <c r="L104" s="2">
        <f t="shared" si="52"/>
        <v>0.92941892571429274</v>
      </c>
      <c r="M104" s="2">
        <f t="shared" si="53"/>
        <v>0.95584803615474334</v>
      </c>
      <c r="N104" s="2">
        <v>1</v>
      </c>
      <c r="O104" s="12">
        <v>23.322439130434784</v>
      </c>
      <c r="P104" s="2">
        <v>23</v>
      </c>
      <c r="Q104" s="2" t="s">
        <v>316</v>
      </c>
      <c r="R104" s="9" t="s">
        <v>308</v>
      </c>
      <c r="S104" s="8">
        <v>1934.4652406417113</v>
      </c>
      <c r="T104" s="8">
        <v>27</v>
      </c>
      <c r="U104" s="9" t="s">
        <v>316</v>
      </c>
      <c r="V104" s="19" t="s">
        <v>357</v>
      </c>
      <c r="W104" s="2"/>
      <c r="X104" s="9">
        <v>0.88</v>
      </c>
      <c r="Y104" s="12">
        <f>AVERAGE(78,64.3)-0.5</f>
        <v>70.650000000000006</v>
      </c>
      <c r="Z104" s="9">
        <f>AVERAGE(0,1.2)</f>
        <v>0.6</v>
      </c>
      <c r="AA104" s="2">
        <f t="shared" si="58"/>
        <v>71.25</v>
      </c>
      <c r="AB104" s="9">
        <v>5.2</v>
      </c>
      <c r="AC104" s="12">
        <f>AVERAGE(4.8,4)</f>
        <v>4.4000000000000004</v>
      </c>
      <c r="AD104" s="2">
        <f t="shared" si="59"/>
        <v>9.6000000000000014</v>
      </c>
      <c r="AE104" s="9">
        <f t="shared" si="60"/>
        <v>80.849999999999994</v>
      </c>
      <c r="AF104" s="9"/>
      <c r="AG104" s="9">
        <v>18.299999999999997</v>
      </c>
      <c r="AH104" s="12">
        <v>12</v>
      </c>
      <c r="AI104" s="12">
        <v>6.3</v>
      </c>
      <c r="AJ104" s="9">
        <f t="shared" si="61"/>
        <v>18.299999999999997</v>
      </c>
      <c r="AK104" s="12">
        <v>0</v>
      </c>
      <c r="AL104" s="9">
        <f t="shared" si="62"/>
        <v>100.02999999999999</v>
      </c>
      <c r="AM104" s="9" t="s">
        <v>458</v>
      </c>
      <c r="AN104" s="2" t="s">
        <v>555</v>
      </c>
      <c r="AO104" s="9"/>
      <c r="AP104" s="9"/>
      <c r="AQ104" s="9">
        <v>8.5</v>
      </c>
      <c r="AR104" s="9" t="s">
        <v>823</v>
      </c>
      <c r="AS104" s="9">
        <v>8.5</v>
      </c>
      <c r="AT104" s="9" t="s">
        <v>824</v>
      </c>
      <c r="AU104" s="9"/>
      <c r="AV104" s="9"/>
      <c r="AW104" s="9"/>
      <c r="AX104" s="2">
        <v>9.0333333333333332</v>
      </c>
      <c r="AY104" s="9" t="s">
        <v>1154</v>
      </c>
      <c r="AZ104" s="9" t="s">
        <v>1155</v>
      </c>
      <c r="BA104" s="17"/>
      <c r="BB104" s="17"/>
      <c r="BC104" s="17"/>
      <c r="BD104" s="17"/>
      <c r="BE104" s="17"/>
      <c r="BF104" s="17"/>
      <c r="BG104" s="17"/>
    </row>
    <row r="105" spans="1:59">
      <c r="A105" s="2" t="s">
        <v>103</v>
      </c>
      <c r="B105" s="2" t="s">
        <v>103</v>
      </c>
      <c r="C105" s="2" t="s">
        <v>103</v>
      </c>
      <c r="E105" s="2" t="s">
        <v>294</v>
      </c>
      <c r="F105" s="2">
        <v>0</v>
      </c>
      <c r="G105" s="2">
        <f>LOG(O105)</f>
        <v>1.2761835981060781</v>
      </c>
      <c r="H105" s="2">
        <f t="shared" si="33"/>
        <v>3.0836587863458069</v>
      </c>
      <c r="I105" s="2">
        <f>LOG(X105)</f>
        <v>0</v>
      </c>
      <c r="J105" s="2">
        <f t="shared" si="56"/>
        <v>1.784141614072831</v>
      </c>
      <c r="K105" s="2">
        <f t="shared" si="57"/>
        <v>1.4065401804339552</v>
      </c>
      <c r="L105" s="2">
        <f t="shared" si="52"/>
        <v>0.60852603357719415</v>
      </c>
      <c r="M105" s="2">
        <f t="shared" si="53"/>
        <v>0.52026512967765093</v>
      </c>
      <c r="N105" s="2">
        <v>1</v>
      </c>
      <c r="O105" s="12">
        <v>18.887896666666666</v>
      </c>
      <c r="P105" s="2">
        <v>24</v>
      </c>
      <c r="Q105" s="2" t="s">
        <v>316</v>
      </c>
      <c r="R105" s="9" t="s">
        <v>308</v>
      </c>
      <c r="S105" s="13">
        <v>1212.4358974358975</v>
      </c>
      <c r="T105" s="8">
        <v>22</v>
      </c>
      <c r="U105" s="9" t="s">
        <v>316</v>
      </c>
      <c r="V105" s="2" t="s">
        <v>306</v>
      </c>
      <c r="W105" s="2" t="s">
        <v>358</v>
      </c>
      <c r="X105" s="9">
        <v>1</v>
      </c>
      <c r="Y105" s="12">
        <f>AVERAGE(59,62,61.5)</f>
        <v>60.833333333333336</v>
      </c>
      <c r="Z105" s="9">
        <v>3</v>
      </c>
      <c r="AA105" s="2">
        <f t="shared" si="58"/>
        <v>63.833333333333336</v>
      </c>
      <c r="AB105" s="9">
        <f>AVERAGE(1,9,12.2)</f>
        <v>7.3999999999999995</v>
      </c>
      <c r="AC105" s="12">
        <f>AVERAGE(2,4,0)</f>
        <v>2</v>
      </c>
      <c r="AD105" s="2">
        <f t="shared" si="59"/>
        <v>9.3999999999999986</v>
      </c>
      <c r="AE105" s="9">
        <f t="shared" si="60"/>
        <v>73.233333333333334</v>
      </c>
      <c r="AF105" s="9"/>
      <c r="AG105" s="9">
        <v>25.5</v>
      </c>
      <c r="AH105" s="12">
        <f>AVERAGE(8,15.7)</f>
        <v>11.85</v>
      </c>
      <c r="AI105" s="12">
        <v>6</v>
      </c>
      <c r="AJ105" s="9">
        <f t="shared" si="61"/>
        <v>25.5</v>
      </c>
      <c r="AK105" s="12">
        <v>0.3</v>
      </c>
      <c r="AL105" s="9">
        <f t="shared" si="62"/>
        <v>100.03333333333335</v>
      </c>
      <c r="AM105" s="9" t="s">
        <v>458</v>
      </c>
      <c r="AN105" s="2" t="s">
        <v>556</v>
      </c>
      <c r="AQ105" s="9">
        <f>AVERAGE(5.5,4.8,3.1,3.1,3.8)</f>
        <v>4.0600000000000005</v>
      </c>
      <c r="AR105" s="9" t="s">
        <v>825</v>
      </c>
      <c r="AS105" s="9">
        <v>4.0600000000000005</v>
      </c>
      <c r="AT105" s="9" t="s">
        <v>813</v>
      </c>
      <c r="AU105" s="9"/>
      <c r="AV105" s="9"/>
      <c r="AW105" s="9"/>
      <c r="AX105" s="9">
        <v>3.3133333333333339</v>
      </c>
      <c r="AY105" s="9" t="s">
        <v>1156</v>
      </c>
      <c r="AZ105" s="9" t="s">
        <v>795</v>
      </c>
      <c r="BA105" s="17"/>
      <c r="BB105" s="17"/>
      <c r="BC105" s="17"/>
      <c r="BD105" s="17"/>
      <c r="BE105" s="17"/>
      <c r="BF105" s="16"/>
      <c r="BG105" s="17"/>
    </row>
    <row r="106" spans="1:59">
      <c r="A106" s="2" t="s">
        <v>104</v>
      </c>
      <c r="B106" s="2" t="s">
        <v>104</v>
      </c>
      <c r="C106" s="2" t="s">
        <v>104</v>
      </c>
      <c r="E106" s="2" t="s">
        <v>294</v>
      </c>
      <c r="F106" s="2">
        <v>0</v>
      </c>
      <c r="G106" s="2">
        <f>LOG(O106)</f>
        <v>1.3786326791474037</v>
      </c>
      <c r="H106" s="2">
        <f t="shared" si="33"/>
        <v>3.2922560713564759</v>
      </c>
      <c r="J106" s="2">
        <f t="shared" si="56"/>
        <v>1.8765065042658811</v>
      </c>
      <c r="K106" s="2">
        <f t="shared" si="57"/>
        <v>0.89348434621848605</v>
      </c>
      <c r="L106" s="2">
        <f t="shared" si="52"/>
        <v>0.59106460702649921</v>
      </c>
      <c r="M106" s="2">
        <f t="shared" si="53"/>
        <v>1.2787536009528289</v>
      </c>
      <c r="N106" s="2">
        <v>1</v>
      </c>
      <c r="O106" s="12">
        <v>23.912923756040495</v>
      </c>
      <c r="P106" s="2">
        <v>28</v>
      </c>
      <c r="Q106" s="2" t="s">
        <v>316</v>
      </c>
      <c r="R106" s="9" t="s">
        <v>308</v>
      </c>
      <c r="S106" s="13">
        <v>1960</v>
      </c>
      <c r="T106" s="8">
        <v>29</v>
      </c>
      <c r="U106" s="9" t="s">
        <v>316</v>
      </c>
      <c r="V106" s="2" t="s">
        <v>306</v>
      </c>
      <c r="W106" s="2"/>
      <c r="X106" s="2">
        <v>0</v>
      </c>
      <c r="Y106" s="2">
        <f>AVERAGE(88,62.5)</f>
        <v>75.25</v>
      </c>
      <c r="Z106" s="2">
        <v>0.04</v>
      </c>
      <c r="AA106" s="2">
        <f t="shared" si="58"/>
        <v>75.290000000000006</v>
      </c>
      <c r="AB106" s="2">
        <f>AVERAGE(0.3,15)</f>
        <v>7.65</v>
      </c>
      <c r="AC106" s="2">
        <f>AVERAGE(0.3,15)</f>
        <v>7.65</v>
      </c>
      <c r="AD106" s="2">
        <f t="shared" si="59"/>
        <v>15.3</v>
      </c>
      <c r="AE106" s="9">
        <f t="shared" si="60"/>
        <v>90.59</v>
      </c>
      <c r="AG106" s="9">
        <v>7.8249999999999993</v>
      </c>
      <c r="AH106" s="2">
        <f>AVERAGE(4,1.97)</f>
        <v>2.9849999999999999</v>
      </c>
      <c r="AI106" s="2">
        <f>AVERAGE(1,8.68)</f>
        <v>4.84</v>
      </c>
      <c r="AJ106" s="9">
        <f t="shared" si="61"/>
        <v>7.8249999999999993</v>
      </c>
      <c r="AK106" s="12">
        <v>1.6</v>
      </c>
      <c r="AL106" s="9">
        <f t="shared" si="62"/>
        <v>100.015</v>
      </c>
      <c r="AM106" s="9" t="s">
        <v>495</v>
      </c>
      <c r="AN106" s="2" t="s">
        <v>557</v>
      </c>
      <c r="AQ106" s="2">
        <v>3.9</v>
      </c>
      <c r="AR106" s="2" t="s">
        <v>826</v>
      </c>
      <c r="AS106" s="2">
        <v>3.9</v>
      </c>
      <c r="AT106" s="9" t="s">
        <v>827</v>
      </c>
      <c r="AU106" s="9"/>
      <c r="AX106" s="2">
        <v>19</v>
      </c>
      <c r="AY106" s="9" t="s">
        <v>729</v>
      </c>
      <c r="AZ106" s="9" t="s">
        <v>795</v>
      </c>
      <c r="BA106" s="17"/>
      <c r="BB106" s="16"/>
      <c r="BC106" s="16"/>
      <c r="BD106" s="16"/>
      <c r="BE106" s="17"/>
      <c r="BF106" s="16"/>
      <c r="BG106" s="17"/>
    </row>
    <row r="107" spans="1:59">
      <c r="A107" s="2" t="s">
        <v>105</v>
      </c>
      <c r="B107" s="2" t="s">
        <v>105</v>
      </c>
      <c r="C107" s="2" t="s">
        <v>105</v>
      </c>
      <c r="E107" s="2" t="s">
        <v>294</v>
      </c>
      <c r="F107" s="2">
        <v>0</v>
      </c>
      <c r="I107" s="2">
        <f>LOG(X107)</f>
        <v>-0.3010299956639812</v>
      </c>
      <c r="J107" s="2">
        <f t="shared" si="56"/>
        <v>1.7726883546821415</v>
      </c>
      <c r="K107" s="2">
        <f t="shared" si="57"/>
        <v>1.4676081055836332</v>
      </c>
      <c r="L107" s="2">
        <f t="shared" si="52"/>
        <v>0.92941892571429274</v>
      </c>
      <c r="M107" s="2">
        <f t="shared" si="53"/>
        <v>1.414973347970818</v>
      </c>
      <c r="N107" s="2">
        <v>1</v>
      </c>
      <c r="Q107" s="2"/>
      <c r="R107" s="9"/>
      <c r="S107" s="13"/>
      <c r="T107" s="8"/>
      <c r="U107" s="9"/>
      <c r="V107" s="2"/>
      <c r="W107" s="2"/>
      <c r="X107" s="2">
        <v>0.5</v>
      </c>
      <c r="Y107" s="2">
        <v>59.25</v>
      </c>
      <c r="AA107" s="2">
        <f t="shared" si="58"/>
        <v>59.25</v>
      </c>
      <c r="AC107" s="2">
        <v>9.4499999999999993</v>
      </c>
      <c r="AD107" s="2">
        <f t="shared" si="59"/>
        <v>9.4499999999999993</v>
      </c>
      <c r="AE107" s="9">
        <f t="shared" si="60"/>
        <v>68.7</v>
      </c>
      <c r="AG107" s="9">
        <v>29.35</v>
      </c>
      <c r="AH107" s="2">
        <v>3.5</v>
      </c>
      <c r="AI107" s="2">
        <v>25.85</v>
      </c>
      <c r="AJ107" s="9">
        <f t="shared" si="61"/>
        <v>29.35</v>
      </c>
      <c r="AK107" s="12">
        <v>1.4</v>
      </c>
      <c r="AL107" s="9">
        <f t="shared" si="62"/>
        <v>99.950000000000017</v>
      </c>
      <c r="AM107" s="9" t="s">
        <v>460</v>
      </c>
      <c r="AN107" s="2" t="s">
        <v>558</v>
      </c>
      <c r="AQ107" s="2">
        <v>8.5</v>
      </c>
      <c r="AR107" s="2" t="s">
        <v>828</v>
      </c>
      <c r="AS107" s="2">
        <v>8.5</v>
      </c>
      <c r="AT107" s="9" t="s">
        <v>612</v>
      </c>
      <c r="AU107" s="9"/>
      <c r="AX107" s="2">
        <v>26</v>
      </c>
      <c r="AY107" s="9" t="s">
        <v>1157</v>
      </c>
      <c r="AZ107" s="9" t="s">
        <v>1158</v>
      </c>
      <c r="BA107" s="17"/>
      <c r="BB107" s="16"/>
      <c r="BC107" s="16"/>
      <c r="BD107" s="16"/>
      <c r="BE107" s="17"/>
      <c r="BF107" s="16"/>
      <c r="BG107" s="17"/>
    </row>
    <row r="108" spans="1:59">
      <c r="A108" s="2" t="s">
        <v>106</v>
      </c>
      <c r="B108" s="2" t="s">
        <v>1395</v>
      </c>
      <c r="C108" s="2" t="s">
        <v>106</v>
      </c>
      <c r="E108" s="2" t="s">
        <v>294</v>
      </c>
      <c r="F108" s="2">
        <v>0</v>
      </c>
      <c r="G108" s="2">
        <f t="shared" ref="G108:G114" si="63">LOG(O108)</f>
        <v>1.3529674442413397</v>
      </c>
      <c r="H108" s="2">
        <f t="shared" si="33"/>
        <v>3.2588766293721312</v>
      </c>
      <c r="J108" s="2">
        <f t="shared" si="56"/>
        <v>1.675778341674085</v>
      </c>
      <c r="K108" s="2">
        <f t="shared" si="57"/>
        <v>1.668812856203443</v>
      </c>
      <c r="L108" s="2">
        <f t="shared" si="52"/>
        <v>0.98227123303956843</v>
      </c>
      <c r="M108" s="2">
        <f t="shared" si="53"/>
        <v>0</v>
      </c>
      <c r="N108" s="2">
        <v>1</v>
      </c>
      <c r="O108" s="12">
        <v>22.540702352941178</v>
      </c>
      <c r="P108" s="2">
        <v>34</v>
      </c>
      <c r="Q108" s="2" t="s">
        <v>316</v>
      </c>
      <c r="R108" s="9" t="s">
        <v>308</v>
      </c>
      <c r="S108" s="8">
        <v>1815</v>
      </c>
      <c r="T108" s="8">
        <v>10</v>
      </c>
      <c r="U108" s="9" t="s">
        <v>316</v>
      </c>
      <c r="V108" s="20" t="s">
        <v>359</v>
      </c>
      <c r="W108" s="2"/>
      <c r="Y108" s="2">
        <f>AVERAGE(AVERAGE(65.12,76.48), 46.8, 24.6)</f>
        <v>47.400000000000006</v>
      </c>
      <c r="Z108" s="2">
        <v>0</v>
      </c>
      <c r="AA108" s="2">
        <f t="shared" si="58"/>
        <v>47.400000000000006</v>
      </c>
      <c r="AC108" s="2">
        <f>AVERAGE(AVERAGE(3.32,3.6),2.2)</f>
        <v>2.83</v>
      </c>
      <c r="AD108" s="2">
        <f t="shared" si="59"/>
        <v>2.83</v>
      </c>
      <c r="AE108" s="9">
        <f t="shared" si="60"/>
        <v>50.230000000000004</v>
      </c>
      <c r="AG108" s="9">
        <v>46.645833333333336</v>
      </c>
      <c r="AH108" s="2">
        <f>AVERAGE(AVERAGE(1.72,1.85),21)</f>
        <v>11.3925</v>
      </c>
      <c r="AI108" s="2">
        <f>AVERAGE(AVERAGE(16.55,16.43),19.2)</f>
        <v>17.844999999999999</v>
      </c>
      <c r="AJ108" s="9">
        <f t="shared" si="61"/>
        <v>46.645833333333336</v>
      </c>
      <c r="AK108" s="12">
        <v>3.1</v>
      </c>
      <c r="AL108" s="9">
        <f t="shared" si="62"/>
        <v>99.975833333333327</v>
      </c>
      <c r="AM108" s="9" t="s">
        <v>458</v>
      </c>
      <c r="AN108" s="2" t="s">
        <v>559</v>
      </c>
      <c r="AQ108" s="2">
        <f>AVERAGE(9.7,11,8.1)</f>
        <v>9.6</v>
      </c>
      <c r="AR108" s="9" t="s">
        <v>829</v>
      </c>
      <c r="AS108" s="2">
        <v>9.6</v>
      </c>
      <c r="AT108" s="9" t="s">
        <v>830</v>
      </c>
      <c r="AU108" s="9"/>
      <c r="AX108" s="2">
        <v>1</v>
      </c>
      <c r="AY108" s="2" t="s">
        <v>1159</v>
      </c>
      <c r="AZ108" s="9" t="s">
        <v>1160</v>
      </c>
      <c r="BA108" s="17"/>
      <c r="BB108" s="16"/>
      <c r="BC108" s="16"/>
      <c r="BD108" s="16"/>
      <c r="BE108" s="17"/>
      <c r="BF108" s="16"/>
      <c r="BG108" s="17"/>
    </row>
    <row r="109" spans="1:59">
      <c r="A109" s="2" t="s">
        <v>1349</v>
      </c>
      <c r="E109" s="2" t="s">
        <v>294</v>
      </c>
      <c r="F109" s="2">
        <v>0</v>
      </c>
      <c r="G109" s="2">
        <f t="shared" si="63"/>
        <v>1.3357921019231931</v>
      </c>
      <c r="L109" s="2">
        <f t="shared" si="52"/>
        <v>0.77815125038364363</v>
      </c>
      <c r="M109" s="2">
        <f t="shared" si="53"/>
        <v>1.1760912590556813</v>
      </c>
      <c r="N109" s="2">
        <v>1</v>
      </c>
      <c r="O109" s="12">
        <v>21.666666666666668</v>
      </c>
      <c r="P109" s="2">
        <v>3</v>
      </c>
      <c r="Q109" s="2" t="s">
        <v>318</v>
      </c>
      <c r="R109" s="9" t="s">
        <v>308</v>
      </c>
      <c r="S109" s="8"/>
      <c r="T109" s="8"/>
      <c r="U109" s="9"/>
      <c r="V109" s="2"/>
      <c r="W109" s="2"/>
      <c r="AE109" s="9"/>
      <c r="AG109" s="9"/>
      <c r="AJ109" s="9"/>
      <c r="AK109" s="12"/>
      <c r="AL109" s="9"/>
      <c r="AM109" s="9"/>
      <c r="AN109" s="2" t="s">
        <v>560</v>
      </c>
      <c r="AR109" s="9" t="s">
        <v>831</v>
      </c>
      <c r="AS109" s="2">
        <v>6</v>
      </c>
      <c r="AT109" s="9" t="s">
        <v>612</v>
      </c>
      <c r="AU109" s="9"/>
      <c r="AX109" s="2">
        <v>15</v>
      </c>
      <c r="AZ109" s="9" t="s">
        <v>612</v>
      </c>
      <c r="BA109" s="17"/>
      <c r="BB109" s="16"/>
      <c r="BC109" s="16"/>
      <c r="BD109" s="16"/>
      <c r="BE109" s="17"/>
      <c r="BF109" s="16"/>
      <c r="BG109" s="17"/>
    </row>
    <row r="110" spans="1:59">
      <c r="A110" s="2" t="s">
        <v>1372</v>
      </c>
      <c r="B110" s="2" t="s">
        <v>1396</v>
      </c>
      <c r="C110" s="2" t="s">
        <v>107</v>
      </c>
      <c r="E110" s="2" t="s">
        <v>295</v>
      </c>
      <c r="F110" s="2">
        <v>0</v>
      </c>
      <c r="G110" s="2">
        <f t="shared" si="63"/>
        <v>0.73617675241457126</v>
      </c>
      <c r="H110" s="2">
        <f t="shared" si="33"/>
        <v>2.4377505628203879</v>
      </c>
      <c r="I110" s="2">
        <f>LOG(X110)</f>
        <v>1.3010299956639813</v>
      </c>
      <c r="J110" s="2">
        <f>LOG(Y110)</f>
        <v>0.69897000433601886</v>
      </c>
      <c r="L110" s="2">
        <f t="shared" si="52"/>
        <v>0.47712125471966244</v>
      </c>
      <c r="N110" s="2">
        <v>0</v>
      </c>
      <c r="O110" s="12">
        <v>5.4472430370370368</v>
      </c>
      <c r="P110" s="2">
        <v>27</v>
      </c>
      <c r="Q110" s="2" t="s">
        <v>316</v>
      </c>
      <c r="R110" s="9" t="s">
        <v>308</v>
      </c>
      <c r="S110" s="13">
        <v>274</v>
      </c>
      <c r="T110" s="8">
        <v>8</v>
      </c>
      <c r="U110" s="9" t="s">
        <v>316</v>
      </c>
      <c r="V110" s="2" t="s">
        <v>306</v>
      </c>
      <c r="W110" s="2" t="s">
        <v>360</v>
      </c>
      <c r="X110" s="2">
        <v>20</v>
      </c>
      <c r="Y110" s="2">
        <v>5</v>
      </c>
      <c r="AA110" s="2">
        <f>Y110+Z110</f>
        <v>5</v>
      </c>
      <c r="AB110" s="2">
        <v>0</v>
      </c>
      <c r="AC110" s="2">
        <v>0</v>
      </c>
      <c r="AD110" s="2">
        <f>AB110+AC110</f>
        <v>0</v>
      </c>
      <c r="AE110" s="9">
        <f>AA110+AD110</f>
        <v>5</v>
      </c>
      <c r="AF110" s="2">
        <v>75</v>
      </c>
      <c r="AG110" s="2">
        <v>0</v>
      </c>
      <c r="AH110" s="2">
        <v>0</v>
      </c>
      <c r="AI110" s="2">
        <v>0</v>
      </c>
      <c r="AJ110" s="9">
        <f>AG110</f>
        <v>0</v>
      </c>
      <c r="AK110" s="2">
        <v>0</v>
      </c>
      <c r="AL110" s="9">
        <f>SUM(X110+AA110+AD110+AF110+AG110+AK110)</f>
        <v>100</v>
      </c>
      <c r="AM110" s="9" t="s">
        <v>460</v>
      </c>
      <c r="AN110" s="2" t="s">
        <v>474</v>
      </c>
      <c r="AO110" s="2">
        <v>3</v>
      </c>
      <c r="AP110" s="22" t="s">
        <v>727</v>
      </c>
      <c r="AQ110" s="2">
        <v>1</v>
      </c>
      <c r="AS110" s="2">
        <v>3</v>
      </c>
      <c r="AT110" s="2" t="s">
        <v>832</v>
      </c>
      <c r="BA110" s="16"/>
      <c r="BB110" s="16"/>
      <c r="BC110" s="16"/>
      <c r="BD110" s="16"/>
      <c r="BE110" s="16"/>
      <c r="BF110" s="16"/>
      <c r="BG110" s="16"/>
    </row>
    <row r="111" spans="1:59">
      <c r="A111" s="2" t="s">
        <v>108</v>
      </c>
      <c r="B111" s="2" t="s">
        <v>108</v>
      </c>
      <c r="C111" s="2" t="s">
        <v>108</v>
      </c>
      <c r="E111" s="2" t="s">
        <v>295</v>
      </c>
      <c r="F111" s="2">
        <v>0</v>
      </c>
      <c r="G111" s="2">
        <f t="shared" si="63"/>
        <v>0.7148053042051129</v>
      </c>
      <c r="H111" s="2">
        <f t="shared" si="33"/>
        <v>2.4043204672217309</v>
      </c>
      <c r="L111" s="2">
        <f t="shared" si="52"/>
        <v>0.3979400086720376</v>
      </c>
      <c r="N111" s="2">
        <v>0</v>
      </c>
      <c r="O111" s="12">
        <v>5.1856751111111112</v>
      </c>
      <c r="P111" s="2">
        <v>9</v>
      </c>
      <c r="Q111" s="2" t="s">
        <v>316</v>
      </c>
      <c r="R111" s="9" t="s">
        <v>306</v>
      </c>
      <c r="S111" s="13">
        <v>253.7</v>
      </c>
      <c r="T111" s="10">
        <v>3</v>
      </c>
      <c r="U111" s="9" t="s">
        <v>316</v>
      </c>
      <c r="V111" s="18" t="s">
        <v>361</v>
      </c>
      <c r="W111" s="2"/>
      <c r="AO111" s="2">
        <v>2.5</v>
      </c>
      <c r="AP111" s="2" t="s">
        <v>732</v>
      </c>
      <c r="AS111" s="2">
        <v>2.5</v>
      </c>
      <c r="AT111" s="2" t="s">
        <v>720</v>
      </c>
      <c r="BA111" s="16"/>
      <c r="BB111" s="16"/>
      <c r="BC111" s="16"/>
      <c r="BD111" s="16"/>
      <c r="BE111" s="16"/>
      <c r="BF111" s="16"/>
      <c r="BG111" s="16"/>
    </row>
    <row r="112" spans="1:59">
      <c r="A112" s="2" t="s">
        <v>109</v>
      </c>
      <c r="B112" s="2" t="s">
        <v>109</v>
      </c>
      <c r="C112" s="2" t="s">
        <v>109</v>
      </c>
      <c r="E112" s="2" t="s">
        <v>295</v>
      </c>
      <c r="F112" s="2">
        <v>0</v>
      </c>
      <c r="G112" s="2">
        <f t="shared" si="63"/>
        <v>0.63548374681491215</v>
      </c>
      <c r="H112" s="2">
        <f t="shared" si="33"/>
        <v>2.3010299956639813</v>
      </c>
      <c r="L112" s="2">
        <f t="shared" si="52"/>
        <v>0.3010299956639812</v>
      </c>
      <c r="N112" s="2">
        <v>0</v>
      </c>
      <c r="O112" s="12">
        <v>4.32</v>
      </c>
      <c r="P112" s="2">
        <v>5</v>
      </c>
      <c r="Q112" s="2" t="s">
        <v>316</v>
      </c>
      <c r="R112" s="9" t="s">
        <v>308</v>
      </c>
      <c r="S112" s="13">
        <v>200</v>
      </c>
      <c r="T112" s="8">
        <v>1</v>
      </c>
      <c r="U112" s="9" t="s">
        <v>316</v>
      </c>
      <c r="V112" s="2" t="s">
        <v>307</v>
      </c>
      <c r="W112" s="2" t="s">
        <v>362</v>
      </c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>
        <v>2</v>
      </c>
      <c r="AP112" s="9" t="s">
        <v>833</v>
      </c>
      <c r="AQ112" s="9">
        <v>1.3</v>
      </c>
      <c r="AR112" s="9" t="s">
        <v>834</v>
      </c>
      <c r="AS112" s="9">
        <v>2</v>
      </c>
      <c r="AT112" s="9" t="s">
        <v>835</v>
      </c>
      <c r="AU112" s="9"/>
      <c r="AV112" s="9"/>
      <c r="AW112" s="9"/>
      <c r="AX112" s="9"/>
      <c r="AY112" s="9"/>
      <c r="AZ112" s="9"/>
      <c r="BA112" s="17"/>
      <c r="BB112" s="17"/>
      <c r="BC112" s="17"/>
      <c r="BD112" s="17"/>
      <c r="BE112" s="17"/>
      <c r="BF112" s="17"/>
      <c r="BG112" s="17"/>
    </row>
    <row r="113" spans="1:59">
      <c r="A113" s="2" t="s">
        <v>1373</v>
      </c>
      <c r="B113" s="2" t="s">
        <v>1397</v>
      </c>
      <c r="C113" s="2" t="s">
        <v>110</v>
      </c>
      <c r="E113" s="2" t="s">
        <v>295</v>
      </c>
      <c r="F113" s="2">
        <v>0</v>
      </c>
      <c r="G113" s="2">
        <f t="shared" si="63"/>
        <v>0.56503799999498749</v>
      </c>
      <c r="H113" s="2">
        <f t="shared" si="33"/>
        <v>2.1713727237103813</v>
      </c>
      <c r="I113" s="2">
        <f>LOG(X113)</f>
        <v>1.7160033436347992</v>
      </c>
      <c r="L113" s="2">
        <f t="shared" si="52"/>
        <v>0.65321251377534373</v>
      </c>
      <c r="M113" s="2">
        <f>LOG(AX113)</f>
        <v>1.0836817472743012</v>
      </c>
      <c r="N113" s="2">
        <v>0</v>
      </c>
      <c r="O113" s="12">
        <v>3.6731443845233382</v>
      </c>
      <c r="P113" s="2">
        <v>70</v>
      </c>
      <c r="Q113" s="2" t="s">
        <v>316</v>
      </c>
      <c r="R113" s="9" t="s">
        <v>308</v>
      </c>
      <c r="S113" s="13">
        <v>148.37909698996657</v>
      </c>
      <c r="T113" s="8">
        <v>49</v>
      </c>
      <c r="U113" s="9" t="s">
        <v>316</v>
      </c>
      <c r="V113" s="2" t="s">
        <v>310</v>
      </c>
      <c r="W113" s="2" t="s">
        <v>311</v>
      </c>
      <c r="X113" s="9">
        <v>52</v>
      </c>
      <c r="Y113" s="9">
        <v>0</v>
      </c>
      <c r="Z113" s="9"/>
      <c r="AA113" s="2">
        <f>Y113+Z113</f>
        <v>0</v>
      </c>
      <c r="AB113" s="9">
        <v>0</v>
      </c>
      <c r="AC113" s="9">
        <v>0</v>
      </c>
      <c r="AD113" s="2">
        <f>AB113+AC113</f>
        <v>0</v>
      </c>
      <c r="AE113" s="9">
        <f>AA113+AD113</f>
        <v>0</v>
      </c>
      <c r="AF113" s="9">
        <v>48</v>
      </c>
      <c r="AG113" s="9">
        <v>0</v>
      </c>
      <c r="AH113" s="9">
        <v>0</v>
      </c>
      <c r="AI113" s="9">
        <v>0</v>
      </c>
      <c r="AJ113" s="9">
        <f>AG113</f>
        <v>0</v>
      </c>
      <c r="AK113" s="9">
        <v>0</v>
      </c>
      <c r="AL113" s="9">
        <f>SUM(X113+AA113+AD113+AF113+AG113+AK113)</f>
        <v>100</v>
      </c>
      <c r="AM113" s="9" t="s">
        <v>460</v>
      </c>
      <c r="AN113" s="9" t="s">
        <v>561</v>
      </c>
      <c r="AO113" s="2">
        <v>4.5</v>
      </c>
      <c r="AP113" s="2" t="s">
        <v>836</v>
      </c>
      <c r="AQ113" s="9">
        <v>1.3</v>
      </c>
      <c r="AR113" s="9" t="s">
        <v>837</v>
      </c>
      <c r="AS113" s="2">
        <v>4.5</v>
      </c>
      <c r="AT113" s="2" t="s">
        <v>838</v>
      </c>
      <c r="AV113" s="9">
        <f>(9.5+22.9)/2</f>
        <v>16.2</v>
      </c>
      <c r="AW113" s="9">
        <f>(4.4+11.7)/2</f>
        <v>8.0500000000000007</v>
      </c>
      <c r="AX113" s="9">
        <v>12.125</v>
      </c>
      <c r="AY113" s="9" t="s">
        <v>1161</v>
      </c>
      <c r="AZ113" s="2" t="s">
        <v>1162</v>
      </c>
      <c r="BA113" s="17"/>
      <c r="BB113" s="17"/>
      <c r="BC113" s="17"/>
      <c r="BD113" s="17"/>
      <c r="BE113" s="17"/>
      <c r="BF113" s="17"/>
      <c r="BG113" s="17"/>
    </row>
    <row r="114" spans="1:59">
      <c r="A114" s="2" t="s">
        <v>1350</v>
      </c>
      <c r="B114" s="2" t="s">
        <v>1398</v>
      </c>
      <c r="C114" s="2" t="s">
        <v>111</v>
      </c>
      <c r="E114" s="2" t="s">
        <v>295</v>
      </c>
      <c r="F114" s="2">
        <v>0</v>
      </c>
      <c r="G114" s="2">
        <f t="shared" si="63"/>
        <v>0.59676618509385559</v>
      </c>
      <c r="H114" s="2">
        <f t="shared" si="33"/>
        <v>2.2881819134610422</v>
      </c>
      <c r="L114" s="2">
        <f t="shared" si="52"/>
        <v>0.54406804435027567</v>
      </c>
      <c r="N114" s="2">
        <v>0</v>
      </c>
      <c r="O114" s="12">
        <v>3.9515382038286053</v>
      </c>
      <c r="P114" s="2">
        <v>216</v>
      </c>
      <c r="Q114" s="2" t="s">
        <v>316</v>
      </c>
      <c r="R114" s="9" t="s">
        <v>308</v>
      </c>
      <c r="S114" s="13">
        <v>194.16990291262135</v>
      </c>
      <c r="T114" s="8">
        <v>193</v>
      </c>
      <c r="U114" s="9" t="s">
        <v>316</v>
      </c>
      <c r="V114" s="2" t="s">
        <v>310</v>
      </c>
      <c r="W114" s="2" t="s">
        <v>311</v>
      </c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>
        <v>3.5</v>
      </c>
      <c r="AP114" s="9" t="s">
        <v>839</v>
      </c>
      <c r="AQ114" s="9">
        <v>1.3</v>
      </c>
      <c r="AR114" s="9" t="s">
        <v>840</v>
      </c>
      <c r="AS114" s="9">
        <v>3.5</v>
      </c>
      <c r="AT114" s="9" t="s">
        <v>841</v>
      </c>
      <c r="AU114" s="9">
        <v>600</v>
      </c>
      <c r="AV114" s="9"/>
      <c r="AW114" s="9"/>
      <c r="AX114" s="9"/>
      <c r="AZ114" s="9" t="s">
        <v>1163</v>
      </c>
      <c r="BA114" s="17"/>
      <c r="BB114" s="17"/>
      <c r="BC114" s="17"/>
      <c r="BD114" s="17"/>
      <c r="BE114" s="17"/>
      <c r="BF114" s="17"/>
      <c r="BG114" s="17"/>
    </row>
    <row r="115" spans="1:59">
      <c r="A115" s="2" t="s">
        <v>112</v>
      </c>
      <c r="B115" s="2" t="s">
        <v>112</v>
      </c>
      <c r="C115" s="2" t="s">
        <v>112</v>
      </c>
      <c r="E115" s="2" t="s">
        <v>295</v>
      </c>
      <c r="F115" s="2">
        <v>0</v>
      </c>
      <c r="H115" s="2">
        <f t="shared" si="33"/>
        <v>2.1568519010700111</v>
      </c>
      <c r="I115" s="2">
        <f>LOG(X115)</f>
        <v>1.8450980400142569</v>
      </c>
      <c r="J115" s="2">
        <f>LOG(Y115)</f>
        <v>1.4771212547196624</v>
      </c>
      <c r="L115" s="2">
        <f t="shared" si="52"/>
        <v>0.51188336097887432</v>
      </c>
      <c r="M115" s="2">
        <f>LOG(AX115)</f>
        <v>0.25527250510330607</v>
      </c>
      <c r="N115" s="2">
        <v>0</v>
      </c>
      <c r="O115" s="7"/>
      <c r="P115" s="8"/>
      <c r="Q115" s="21"/>
      <c r="R115" s="9"/>
      <c r="S115" s="13">
        <v>143.5</v>
      </c>
      <c r="T115" s="10">
        <v>73</v>
      </c>
      <c r="U115" s="9" t="s">
        <v>316</v>
      </c>
      <c r="V115" s="2" t="s">
        <v>363</v>
      </c>
      <c r="W115" s="2"/>
      <c r="X115" s="2">
        <v>70</v>
      </c>
      <c r="Y115" s="2">
        <v>30</v>
      </c>
      <c r="AA115" s="2">
        <f>Y115+Z115</f>
        <v>30</v>
      </c>
      <c r="AB115" s="2">
        <v>0</v>
      </c>
      <c r="AC115" s="2">
        <v>0</v>
      </c>
      <c r="AD115" s="2">
        <f>AB115+AC115</f>
        <v>0</v>
      </c>
      <c r="AE115" s="9">
        <f>AA115+AD115</f>
        <v>30</v>
      </c>
      <c r="AF115" s="2">
        <v>0</v>
      </c>
      <c r="AG115" s="2">
        <v>0</v>
      </c>
      <c r="AH115" s="2">
        <v>0</v>
      </c>
      <c r="AI115" s="2">
        <v>0</v>
      </c>
      <c r="AJ115" s="9">
        <f>AG115</f>
        <v>0</v>
      </c>
      <c r="AK115" s="2">
        <v>0</v>
      </c>
      <c r="AL115" s="9">
        <f>SUM(X115+AA115+AD115+AF115+AG115+AK115)</f>
        <v>100</v>
      </c>
      <c r="AM115" s="9" t="s">
        <v>460</v>
      </c>
      <c r="AN115" s="2" t="s">
        <v>562</v>
      </c>
      <c r="AO115" s="2">
        <v>3.25</v>
      </c>
      <c r="AP115" s="2" t="s">
        <v>842</v>
      </c>
      <c r="AS115" s="2">
        <v>3.25</v>
      </c>
      <c r="AT115" s="2" t="s">
        <v>720</v>
      </c>
      <c r="AU115" s="2">
        <v>1750</v>
      </c>
      <c r="AV115" s="2">
        <v>2.2000000000000002</v>
      </c>
      <c r="AW115" s="2">
        <v>1.8</v>
      </c>
      <c r="AX115" s="2">
        <v>1.8</v>
      </c>
      <c r="AZ115" s="2" t="s">
        <v>720</v>
      </c>
      <c r="BA115" s="16"/>
      <c r="BB115" s="16"/>
      <c r="BC115" s="16"/>
      <c r="BD115" s="16"/>
      <c r="BE115" s="16"/>
      <c r="BF115" s="16"/>
      <c r="BG115" s="16"/>
    </row>
    <row r="116" spans="1:59">
      <c r="A116" s="2" t="s">
        <v>1351</v>
      </c>
      <c r="B116" s="2" t="s">
        <v>1399</v>
      </c>
      <c r="C116" s="2" t="s">
        <v>113</v>
      </c>
      <c r="E116" s="2" t="s">
        <v>295</v>
      </c>
      <c r="F116" s="2">
        <v>0</v>
      </c>
      <c r="G116" s="2">
        <f>LOG(O116)</f>
        <v>0.42051491581321504</v>
      </c>
      <c r="H116" s="2">
        <f t="shared" si="33"/>
        <v>1.8730257719432541</v>
      </c>
      <c r="I116" s="2">
        <f>LOG(X116)</f>
        <v>1.8450980400142569</v>
      </c>
      <c r="J116" s="2">
        <f>LOG(Y116)</f>
        <v>1.2787536009528289</v>
      </c>
      <c r="L116" s="2">
        <f t="shared" si="52"/>
        <v>0.6020599913279624</v>
      </c>
      <c r="M116" s="2">
        <f>LOG(AX116)</f>
        <v>0.11394335230683679</v>
      </c>
      <c r="N116" s="2">
        <v>0</v>
      </c>
      <c r="O116" s="12">
        <v>2.6333883856599467</v>
      </c>
      <c r="P116" s="2">
        <v>58</v>
      </c>
      <c r="Q116" s="2" t="s">
        <v>316</v>
      </c>
      <c r="R116" s="9" t="s">
        <v>308</v>
      </c>
      <c r="S116" s="13">
        <v>74.649305555555557</v>
      </c>
      <c r="T116" s="8">
        <v>43</v>
      </c>
      <c r="U116" s="9" t="s">
        <v>316</v>
      </c>
      <c r="V116" s="2" t="s">
        <v>306</v>
      </c>
      <c r="W116" s="2"/>
      <c r="X116" s="9">
        <v>70</v>
      </c>
      <c r="Y116" s="9">
        <v>19</v>
      </c>
      <c r="Z116" s="9"/>
      <c r="AA116" s="2">
        <f>Y116+Z116</f>
        <v>19</v>
      </c>
      <c r="AB116" s="9">
        <v>0</v>
      </c>
      <c r="AC116" s="9">
        <v>0</v>
      </c>
      <c r="AD116" s="2">
        <f>AB116+AC116</f>
        <v>0</v>
      </c>
      <c r="AE116" s="9">
        <f>AA116+AD116</f>
        <v>19</v>
      </c>
      <c r="AF116" s="9">
        <v>10</v>
      </c>
      <c r="AG116" s="9">
        <v>0</v>
      </c>
      <c r="AH116" s="9">
        <v>0</v>
      </c>
      <c r="AI116" s="9">
        <v>0</v>
      </c>
      <c r="AJ116" s="9">
        <f>AG116</f>
        <v>0</v>
      </c>
      <c r="AK116" s="9">
        <v>1</v>
      </c>
      <c r="AL116" s="9">
        <f>SUM(X116+AA116+AD116+AF116+AG116+AK116)</f>
        <v>100</v>
      </c>
      <c r="AM116" s="9" t="s">
        <v>460</v>
      </c>
      <c r="AN116" s="9" t="s">
        <v>563</v>
      </c>
      <c r="AO116" s="9">
        <v>4</v>
      </c>
      <c r="AP116" s="9" t="s">
        <v>843</v>
      </c>
      <c r="AQ116" s="9">
        <v>1</v>
      </c>
      <c r="AR116" s="9"/>
      <c r="AS116" s="9">
        <v>4</v>
      </c>
      <c r="AT116" s="2" t="s">
        <v>720</v>
      </c>
      <c r="AV116" s="9">
        <v>1.6</v>
      </c>
      <c r="AW116" s="9">
        <v>1</v>
      </c>
      <c r="AX116" s="9">
        <v>1.3</v>
      </c>
      <c r="AY116" s="9"/>
      <c r="AZ116" s="2" t="s">
        <v>720</v>
      </c>
      <c r="BA116" s="17"/>
      <c r="BB116" s="17"/>
      <c r="BC116" s="17"/>
      <c r="BD116" s="17"/>
      <c r="BE116" s="17"/>
      <c r="BF116" s="17"/>
      <c r="BG116" s="17"/>
    </row>
    <row r="117" spans="1:59">
      <c r="A117" s="2" t="s">
        <v>1352</v>
      </c>
      <c r="E117" s="2" t="s">
        <v>295</v>
      </c>
      <c r="F117" s="2">
        <v>0</v>
      </c>
      <c r="G117" s="2">
        <f>LOG(O117)</f>
        <v>0.61000055669520425</v>
      </c>
      <c r="N117" s="2">
        <v>0</v>
      </c>
      <c r="O117" s="12">
        <v>4.0738079999999997</v>
      </c>
      <c r="P117" s="2">
        <v>1</v>
      </c>
      <c r="Q117" s="2" t="s">
        <v>318</v>
      </c>
      <c r="R117" s="9" t="s">
        <v>308</v>
      </c>
      <c r="S117" s="10"/>
      <c r="T117" s="10"/>
      <c r="U117" s="2"/>
      <c r="V117" s="2"/>
      <c r="W117" s="2"/>
      <c r="AQ117" s="2">
        <v>1.1000000000000001</v>
      </c>
      <c r="AR117" s="2" t="s">
        <v>844</v>
      </c>
      <c r="AT117" s="2" t="s">
        <v>845</v>
      </c>
      <c r="BA117" s="16"/>
      <c r="BB117" s="16"/>
      <c r="BC117" s="16"/>
      <c r="BD117" s="16"/>
      <c r="BE117" s="16"/>
      <c r="BF117" s="16"/>
      <c r="BG117" s="16"/>
    </row>
    <row r="118" spans="1:59">
      <c r="A118" s="2" t="s">
        <v>1353</v>
      </c>
      <c r="E118" s="2" t="s">
        <v>295</v>
      </c>
      <c r="F118" s="2">
        <v>0</v>
      </c>
      <c r="N118" s="2">
        <v>0</v>
      </c>
      <c r="Q118" s="2"/>
      <c r="R118" s="2"/>
      <c r="S118" s="10"/>
      <c r="T118" s="10"/>
      <c r="U118" s="2"/>
      <c r="V118" s="2"/>
      <c r="W118" s="2"/>
      <c r="AQ118" s="2">
        <v>1.1499999999999999</v>
      </c>
      <c r="AR118" s="2" t="s">
        <v>846</v>
      </c>
      <c r="AT118" s="2" t="s">
        <v>845</v>
      </c>
      <c r="BA118" s="16"/>
      <c r="BB118" s="16"/>
      <c r="BC118" s="16"/>
      <c r="BD118" s="16"/>
      <c r="BE118" s="16"/>
      <c r="BF118" s="16"/>
      <c r="BG118" s="16"/>
    </row>
    <row r="119" spans="1:59">
      <c r="A119" s="2" t="s">
        <v>1354</v>
      </c>
      <c r="B119" s="2" t="s">
        <v>1400</v>
      </c>
      <c r="C119" s="2" t="s">
        <v>114</v>
      </c>
      <c r="E119" s="2" t="s">
        <v>295</v>
      </c>
      <c r="F119" s="2">
        <v>0</v>
      </c>
      <c r="G119" s="2">
        <f>LOG(O119)</f>
        <v>0.45063607910917935</v>
      </c>
      <c r="H119" s="2">
        <f t="shared" si="33"/>
        <v>1.8920946026904804</v>
      </c>
      <c r="I119" s="2">
        <f>LOG(X119)</f>
        <v>1.8920946026904804</v>
      </c>
      <c r="J119" s="2">
        <f>LOG(Y119)</f>
        <v>0.3010299956639812</v>
      </c>
      <c r="L119" s="2">
        <f t="shared" ref="L119:L128" si="64">LOG(AS119)</f>
        <v>0.92941892571429274</v>
      </c>
      <c r="N119" s="2">
        <v>0</v>
      </c>
      <c r="O119" s="12">
        <v>2.8225138333333333</v>
      </c>
      <c r="P119" s="2">
        <v>6</v>
      </c>
      <c r="Q119" s="2" t="s">
        <v>316</v>
      </c>
      <c r="R119" s="9" t="s">
        <v>308</v>
      </c>
      <c r="S119" s="13">
        <v>78</v>
      </c>
      <c r="T119" s="8">
        <v>12</v>
      </c>
      <c r="U119" s="9" t="s">
        <v>316</v>
      </c>
      <c r="V119" s="2" t="s">
        <v>363</v>
      </c>
      <c r="W119" s="2" t="s">
        <v>364</v>
      </c>
      <c r="X119" s="9">
        <v>78</v>
      </c>
      <c r="Y119" s="9">
        <v>2</v>
      </c>
      <c r="Z119" s="9">
        <v>2</v>
      </c>
      <c r="AA119" s="2">
        <f>Y119+Z119</f>
        <v>4</v>
      </c>
      <c r="AB119" s="9"/>
      <c r="AC119" s="9"/>
      <c r="AD119" s="9"/>
      <c r="AE119" s="9">
        <f>AA119+AD119</f>
        <v>4</v>
      </c>
      <c r="AF119" s="9">
        <v>18</v>
      </c>
      <c r="AG119" s="9">
        <v>0</v>
      </c>
      <c r="AH119" s="9"/>
      <c r="AI119" s="9"/>
      <c r="AJ119" s="2">
        <f>AK119+AG119</f>
        <v>0</v>
      </c>
      <c r="AK119" s="9">
        <v>0</v>
      </c>
      <c r="AL119" s="9">
        <f>SUM(X119+AA119+AD119+AF119+AG119+AK119)</f>
        <v>100</v>
      </c>
      <c r="AM119" s="9"/>
      <c r="AN119" s="9" t="s">
        <v>564</v>
      </c>
      <c r="AO119" s="9">
        <v>8.5</v>
      </c>
      <c r="AP119" s="9" t="s">
        <v>847</v>
      </c>
      <c r="AQ119" s="9">
        <v>1</v>
      </c>
      <c r="AR119" s="9"/>
      <c r="AS119" s="9">
        <v>8.5</v>
      </c>
      <c r="AT119" s="9" t="s">
        <v>848</v>
      </c>
      <c r="AU119" s="9"/>
      <c r="AV119" s="9"/>
      <c r="AW119" s="9"/>
      <c r="AX119" s="9"/>
      <c r="AY119" s="9"/>
      <c r="AZ119" s="9"/>
      <c r="BA119" s="17"/>
      <c r="BB119" s="17"/>
      <c r="BC119" s="17"/>
      <c r="BD119" s="17"/>
      <c r="BE119" s="17"/>
      <c r="BF119" s="17"/>
      <c r="BG119" s="17"/>
    </row>
    <row r="120" spans="1:59">
      <c r="A120" s="2" t="s">
        <v>1355</v>
      </c>
      <c r="B120" s="2" t="s">
        <v>1401</v>
      </c>
      <c r="C120" s="2" t="s">
        <v>115</v>
      </c>
      <c r="E120" s="2" t="s">
        <v>295</v>
      </c>
      <c r="F120" s="2">
        <v>0</v>
      </c>
      <c r="G120" s="2">
        <f>LOG(O120)</f>
        <v>0.61582326753514638</v>
      </c>
      <c r="H120" s="2">
        <f t="shared" si="33"/>
        <v>2.1553360374650619</v>
      </c>
      <c r="L120" s="2">
        <f t="shared" si="64"/>
        <v>0.47712125471966244</v>
      </c>
      <c r="M120" s="2">
        <f t="shared" ref="M120:M125" si="65">LOG(AX120)</f>
        <v>0.35218251811136247</v>
      </c>
      <c r="N120" s="2">
        <v>0</v>
      </c>
      <c r="O120" s="12">
        <v>4.1287944999999997</v>
      </c>
      <c r="P120" s="2">
        <v>10</v>
      </c>
      <c r="Q120" s="2" t="s">
        <v>316</v>
      </c>
      <c r="R120" s="9" t="s">
        <v>308</v>
      </c>
      <c r="S120" s="13">
        <v>143</v>
      </c>
      <c r="T120" s="8">
        <v>72</v>
      </c>
      <c r="U120" s="9" t="s">
        <v>316</v>
      </c>
      <c r="V120" s="2" t="s">
        <v>306</v>
      </c>
      <c r="W120" s="2" t="s">
        <v>365</v>
      </c>
      <c r="AO120" s="2">
        <v>3</v>
      </c>
      <c r="AP120" s="2" t="s">
        <v>849</v>
      </c>
      <c r="AQ120" s="12">
        <v>1.08</v>
      </c>
      <c r="AR120" s="2" t="s">
        <v>850</v>
      </c>
      <c r="AS120" s="2">
        <v>3</v>
      </c>
      <c r="AT120" s="2" t="s">
        <v>720</v>
      </c>
      <c r="AV120" s="2">
        <v>2.4</v>
      </c>
      <c r="AW120" s="2">
        <v>2.1</v>
      </c>
      <c r="AX120" s="9">
        <v>2.25</v>
      </c>
      <c r="AZ120" s="2" t="s">
        <v>1164</v>
      </c>
      <c r="BA120" s="16"/>
      <c r="BB120" s="16"/>
      <c r="BC120" s="16"/>
      <c r="BD120" s="16"/>
      <c r="BE120" s="16"/>
      <c r="BF120" s="16"/>
      <c r="BG120" s="16"/>
    </row>
    <row r="121" spans="1:59">
      <c r="A121" s="2" t="s">
        <v>116</v>
      </c>
      <c r="B121" s="2" t="s">
        <v>116</v>
      </c>
      <c r="C121" s="2" t="s">
        <v>116</v>
      </c>
      <c r="E121" s="2" t="s">
        <v>296</v>
      </c>
      <c r="F121" s="2">
        <v>1</v>
      </c>
      <c r="G121" s="2">
        <f>LOG(O121)</f>
        <v>2.6591029758645992</v>
      </c>
      <c r="H121" s="2">
        <f t="shared" si="33"/>
        <v>4.989004615698537</v>
      </c>
      <c r="I121" s="2">
        <f>LOG(X121)</f>
        <v>-1</v>
      </c>
      <c r="J121" s="2">
        <f>LOG(Y121)</f>
        <v>0.94448267215016857</v>
      </c>
      <c r="K121" s="2">
        <f>LOG(AG121)</f>
        <v>1.8483944086434858</v>
      </c>
      <c r="L121" s="2">
        <f t="shared" si="64"/>
        <v>1.0102999566398119</v>
      </c>
      <c r="M121" s="2">
        <f t="shared" si="65"/>
        <v>3.1461280356782382</v>
      </c>
      <c r="N121" s="2">
        <v>1</v>
      </c>
      <c r="O121" s="12">
        <v>456.14506</v>
      </c>
      <c r="P121" s="2">
        <v>10</v>
      </c>
      <c r="Q121" s="9" t="s">
        <v>305</v>
      </c>
      <c r="R121" s="9" t="s">
        <v>308</v>
      </c>
      <c r="S121" s="13">
        <v>97500</v>
      </c>
      <c r="T121" s="8">
        <v>1</v>
      </c>
      <c r="U121" s="9" t="s">
        <v>305</v>
      </c>
      <c r="V121" s="2" t="s">
        <v>306</v>
      </c>
      <c r="W121" s="2" t="s">
        <v>366</v>
      </c>
      <c r="X121" s="2">
        <v>0.1</v>
      </c>
      <c r="Y121" s="2">
        <f>AVERAGE(5.7,15.7,5)</f>
        <v>8.7999999999999989</v>
      </c>
      <c r="AA121" s="2">
        <f>Y121+Z121</f>
        <v>8.7999999999999989</v>
      </c>
      <c r="AC121" s="2">
        <v>2.2999999999999998</v>
      </c>
      <c r="AD121" s="2">
        <f>AB121+AC121</f>
        <v>2.2999999999999998</v>
      </c>
      <c r="AE121" s="9">
        <f>AA121+AD121</f>
        <v>11.099999999999998</v>
      </c>
      <c r="AG121" s="2">
        <v>70.533333333333331</v>
      </c>
      <c r="AJ121" s="2">
        <f>AK121+AG121</f>
        <v>88.833333333333329</v>
      </c>
      <c r="AK121" s="2">
        <v>18.3</v>
      </c>
      <c r="AL121" s="9">
        <f>SUM(X121+AA121+AD121+AF121+AG121+AK121)</f>
        <v>100.03333333333333</v>
      </c>
      <c r="AM121" s="9" t="s">
        <v>565</v>
      </c>
      <c r="AN121" s="2" t="s">
        <v>566</v>
      </c>
      <c r="AQ121" s="2">
        <f>AVERAGE(9.8,15.2,9.2,10,7)</f>
        <v>10.24</v>
      </c>
      <c r="AS121" s="2">
        <v>10.24</v>
      </c>
      <c r="AT121" s="2" t="s">
        <v>328</v>
      </c>
      <c r="AX121" s="2">
        <v>1400</v>
      </c>
      <c r="AY121" s="2" t="s">
        <v>1165</v>
      </c>
      <c r="AZ121" s="2" t="s">
        <v>1166</v>
      </c>
      <c r="BA121" s="16"/>
      <c r="BB121" s="16"/>
      <c r="BC121" s="16"/>
      <c r="BD121" s="16"/>
      <c r="BE121" s="16"/>
      <c r="BF121" s="16"/>
      <c r="BG121" s="16"/>
    </row>
    <row r="122" spans="1:59">
      <c r="A122" s="2" t="s">
        <v>117</v>
      </c>
      <c r="B122" s="2" t="s">
        <v>1402</v>
      </c>
      <c r="C122" s="2" t="s">
        <v>117</v>
      </c>
      <c r="E122" s="2" t="s">
        <v>296</v>
      </c>
      <c r="F122" s="2">
        <v>1</v>
      </c>
      <c r="G122" s="2">
        <f>LOG(O122)</f>
        <v>2.6372247632068215</v>
      </c>
      <c r="H122" s="2">
        <f t="shared" si="33"/>
        <v>4.8543060418010811</v>
      </c>
      <c r="I122" s="2">
        <f>LOG(X122)</f>
        <v>0.47712125471966244</v>
      </c>
      <c r="J122" s="2">
        <f>LOG(Y122)</f>
        <v>1.6720978579357175</v>
      </c>
      <c r="K122" s="2">
        <f>LOG(AG122)</f>
        <v>1.6989700043360187</v>
      </c>
      <c r="L122" s="2">
        <f t="shared" si="64"/>
        <v>1.0210341661938813</v>
      </c>
      <c r="M122" s="2">
        <f t="shared" si="65"/>
        <v>3.2479732663618068</v>
      </c>
      <c r="N122" s="2">
        <v>1</v>
      </c>
      <c r="O122" s="12">
        <v>433.73529411764707</v>
      </c>
      <c r="P122" s="2">
        <v>34</v>
      </c>
      <c r="Q122" s="9" t="s">
        <v>305</v>
      </c>
      <c r="R122" s="9" t="s">
        <v>308</v>
      </c>
      <c r="S122" s="13">
        <v>71500</v>
      </c>
      <c r="T122" s="8">
        <v>3</v>
      </c>
      <c r="U122" s="9" t="s">
        <v>305</v>
      </c>
      <c r="V122" s="2" t="s">
        <v>306</v>
      </c>
      <c r="W122" s="2" t="s">
        <v>366</v>
      </c>
      <c r="X122" s="9">
        <v>3</v>
      </c>
      <c r="Y122" s="9">
        <v>47</v>
      </c>
      <c r="Z122" s="9"/>
      <c r="AA122" s="2">
        <f>Y122+Z122</f>
        <v>47</v>
      </c>
      <c r="AB122" s="9"/>
      <c r="AC122" s="9"/>
      <c r="AD122" s="9"/>
      <c r="AE122" s="9">
        <f>AA122+AD122</f>
        <v>47</v>
      </c>
      <c r="AF122" s="9"/>
      <c r="AG122" s="9">
        <v>50</v>
      </c>
      <c r="AH122" s="9"/>
      <c r="AI122" s="9"/>
      <c r="AJ122" s="9">
        <v>50</v>
      </c>
      <c r="AK122" s="9">
        <v>0</v>
      </c>
      <c r="AL122" s="9">
        <f>SUM(X122+AA122+AD122+AF122+AG122+AK122)</f>
        <v>100</v>
      </c>
      <c r="AM122" s="9" t="s">
        <v>460</v>
      </c>
      <c r="AN122" s="9" t="s">
        <v>567</v>
      </c>
      <c r="AQ122" s="9">
        <f>AVERAGE(17.4,8.2,18,4.5,8.4,14,3.47,10)</f>
        <v>10.49625</v>
      </c>
      <c r="AR122" s="9" t="s">
        <v>851</v>
      </c>
      <c r="AS122" s="9">
        <v>10.49625</v>
      </c>
      <c r="AT122" s="9" t="s">
        <v>328</v>
      </c>
      <c r="AU122" s="9"/>
      <c r="AV122" s="9"/>
      <c r="AW122" s="9"/>
      <c r="AX122" s="9">
        <v>1770</v>
      </c>
      <c r="AY122" s="9" t="s">
        <v>1167</v>
      </c>
      <c r="AZ122" s="2" t="s">
        <v>1168</v>
      </c>
      <c r="BA122" s="17"/>
      <c r="BB122" s="17"/>
      <c r="BC122" s="17"/>
      <c r="BD122" s="17"/>
      <c r="BE122" s="17"/>
      <c r="BF122" s="17"/>
      <c r="BG122" s="17"/>
    </row>
    <row r="123" spans="1:59">
      <c r="A123" s="2" t="s">
        <v>118</v>
      </c>
      <c r="B123" s="2" t="s">
        <v>1403</v>
      </c>
      <c r="C123" s="2" t="s">
        <v>118</v>
      </c>
      <c r="E123" s="2" t="s">
        <v>294</v>
      </c>
      <c r="F123" s="2">
        <v>0</v>
      </c>
      <c r="G123" s="2">
        <f>LOG(O123)</f>
        <v>1.1613680022349748</v>
      </c>
      <c r="H123" s="2">
        <f t="shared" si="33"/>
        <v>3.0930713063760633</v>
      </c>
      <c r="K123" s="2">
        <f>LOG(AG123)</f>
        <v>1.7041505168397992</v>
      </c>
      <c r="L123" s="2">
        <f t="shared" si="64"/>
        <v>0.77815125038364363</v>
      </c>
      <c r="M123" s="2">
        <f t="shared" si="65"/>
        <v>0.3010299956639812</v>
      </c>
      <c r="N123" s="2">
        <v>1</v>
      </c>
      <c r="O123" s="12">
        <v>14.5</v>
      </c>
      <c r="P123" s="2">
        <v>2</v>
      </c>
      <c r="Q123" s="2" t="s">
        <v>318</v>
      </c>
      <c r="R123" s="9" t="s">
        <v>308</v>
      </c>
      <c r="S123" s="10">
        <v>1239</v>
      </c>
      <c r="T123" s="8"/>
      <c r="U123" s="9" t="s">
        <v>316</v>
      </c>
      <c r="V123" s="2" t="s">
        <v>367</v>
      </c>
      <c r="W123" s="2"/>
      <c r="Z123" s="2">
        <v>2.1</v>
      </c>
      <c r="AC123" s="2">
        <v>0.1</v>
      </c>
      <c r="AG123" s="2">
        <v>50.6</v>
      </c>
      <c r="AN123" s="9" t="s">
        <v>568</v>
      </c>
      <c r="AQ123" s="9">
        <v>3.5</v>
      </c>
      <c r="AR123" s="9" t="s">
        <v>852</v>
      </c>
      <c r="AS123" s="9">
        <v>6</v>
      </c>
      <c r="AT123" s="9" t="s">
        <v>853</v>
      </c>
      <c r="AU123" s="9"/>
      <c r="AX123" s="2">
        <v>2</v>
      </c>
      <c r="AY123" s="2" t="s">
        <v>1169</v>
      </c>
      <c r="AZ123" s="9" t="s">
        <v>853</v>
      </c>
      <c r="BA123" s="16"/>
      <c r="BB123" s="16"/>
      <c r="BC123" s="16"/>
      <c r="BD123" s="16"/>
      <c r="BE123" s="16"/>
      <c r="BF123" s="16"/>
      <c r="BG123" s="16"/>
    </row>
    <row r="124" spans="1:59">
      <c r="A124" s="2" t="s">
        <v>119</v>
      </c>
      <c r="B124" s="2" t="s">
        <v>119</v>
      </c>
      <c r="C124" s="2" t="s">
        <v>119</v>
      </c>
      <c r="E124" s="2" t="s">
        <v>294</v>
      </c>
      <c r="F124" s="2">
        <v>0</v>
      </c>
      <c r="H124" s="2">
        <f t="shared" si="33"/>
        <v>3.1567005525820173</v>
      </c>
      <c r="J124" s="2">
        <f>LOG(Y124)</f>
        <v>0.6020599913279624</v>
      </c>
      <c r="K124" s="2">
        <f>LOG(AG124)</f>
        <v>1.9614210940664483</v>
      </c>
      <c r="L124" s="2">
        <f t="shared" si="64"/>
        <v>0.47712125471966244</v>
      </c>
      <c r="M124" s="2">
        <f t="shared" si="65"/>
        <v>1.4771212547196624</v>
      </c>
      <c r="N124" s="2">
        <v>1</v>
      </c>
      <c r="O124" s="12"/>
      <c r="Q124" s="2"/>
      <c r="R124" s="9"/>
      <c r="S124" s="13">
        <v>1434.5</v>
      </c>
      <c r="T124" s="8">
        <v>13</v>
      </c>
      <c r="U124" s="9" t="s">
        <v>316</v>
      </c>
      <c r="V124" s="20" t="s">
        <v>368</v>
      </c>
      <c r="W124" s="2"/>
      <c r="X124" s="2">
        <v>0</v>
      </c>
      <c r="Y124" s="2">
        <v>4</v>
      </c>
      <c r="AA124" s="2">
        <f>Y124+Z124</f>
        <v>4</v>
      </c>
      <c r="AC124" s="2">
        <v>1</v>
      </c>
      <c r="AD124" s="2">
        <f>AB124+AC124</f>
        <v>1</v>
      </c>
      <c r="AE124" s="9">
        <f>AA124+AD124</f>
        <v>5</v>
      </c>
      <c r="AG124" s="2">
        <v>91.5</v>
      </c>
      <c r="AK124" s="9">
        <v>3.5</v>
      </c>
      <c r="AL124" s="9">
        <f>SUM(X124+AA124+AD124+AF124+AG124+AK124)</f>
        <v>100</v>
      </c>
      <c r="AM124" s="9" t="s">
        <v>460</v>
      </c>
      <c r="AN124" s="9" t="s">
        <v>569</v>
      </c>
      <c r="AQ124" s="9">
        <v>3</v>
      </c>
      <c r="AR124" s="9" t="s">
        <v>726</v>
      </c>
      <c r="AS124" s="9">
        <v>3</v>
      </c>
      <c r="AT124" s="9" t="s">
        <v>854</v>
      </c>
      <c r="AU124" s="9">
        <v>365</v>
      </c>
      <c r="AX124" s="2">
        <v>30</v>
      </c>
      <c r="AY124" s="2" t="s">
        <v>1170</v>
      </c>
      <c r="AZ124" s="9" t="s">
        <v>1171</v>
      </c>
      <c r="BA124" s="16"/>
      <c r="BB124" s="16"/>
      <c r="BC124" s="16"/>
      <c r="BD124" s="16"/>
      <c r="BE124" s="16"/>
      <c r="BF124" s="16"/>
      <c r="BG124" s="17"/>
    </row>
    <row r="125" spans="1:59">
      <c r="A125" s="2" t="s">
        <v>120</v>
      </c>
      <c r="B125" s="2" t="s">
        <v>120</v>
      </c>
      <c r="C125" s="2" t="s">
        <v>120</v>
      </c>
      <c r="E125" s="2" t="s">
        <v>294</v>
      </c>
      <c r="F125" s="2">
        <v>0</v>
      </c>
      <c r="G125" s="2">
        <f t="shared" ref="G125:G140" si="66">LOG(O125)</f>
        <v>1.1391058332178217</v>
      </c>
      <c r="H125" s="2">
        <f t="shared" si="33"/>
        <v>2.9611599642490245</v>
      </c>
      <c r="J125" s="2">
        <f>LOG(Y125)</f>
        <v>0.49136169383427269</v>
      </c>
      <c r="K125" s="2">
        <f>LOG(AG125)</f>
        <v>1.9809119377768436</v>
      </c>
      <c r="L125" s="2">
        <f t="shared" si="64"/>
        <v>0.64673038624742341</v>
      </c>
      <c r="M125" s="2">
        <f t="shared" si="65"/>
        <v>1.1760912590556813</v>
      </c>
      <c r="N125" s="2">
        <v>1</v>
      </c>
      <c r="O125" s="12">
        <v>13.775451219512195</v>
      </c>
      <c r="P125" s="2">
        <v>41</v>
      </c>
      <c r="Q125" s="2" t="s">
        <v>316</v>
      </c>
      <c r="R125" s="9" t="s">
        <v>308</v>
      </c>
      <c r="S125" s="13">
        <v>914.45</v>
      </c>
      <c r="T125" s="8">
        <v>25</v>
      </c>
      <c r="U125" s="9" t="s">
        <v>316</v>
      </c>
      <c r="V125" s="2" t="s">
        <v>369</v>
      </c>
      <c r="W125" s="2"/>
      <c r="X125" s="2">
        <v>0</v>
      </c>
      <c r="Y125" s="2">
        <f>AVERAGE(5,1.2)</f>
        <v>3.1</v>
      </c>
      <c r="Z125" s="2">
        <v>0</v>
      </c>
      <c r="AA125" s="2">
        <f>Y125+Z125</f>
        <v>3.1</v>
      </c>
      <c r="AC125" s="2">
        <f>0.2+0.2+0.2+0.2+0.4</f>
        <v>1.2000000000000002</v>
      </c>
      <c r="AD125" s="2">
        <f>AB125+AC125</f>
        <v>1.2000000000000002</v>
      </c>
      <c r="AE125" s="9">
        <f>AA125+AD125</f>
        <v>4.3000000000000007</v>
      </c>
      <c r="AG125" s="12">
        <v>95.699999999999989</v>
      </c>
      <c r="AH125" s="2">
        <f>52.3+28.2+8.6+0.3</f>
        <v>89.399999999999991</v>
      </c>
      <c r="AI125" s="12">
        <f>0.5+2.3+1.5+1.3+0.3+0.4</f>
        <v>6.3</v>
      </c>
      <c r="AJ125" s="12">
        <f>AG125</f>
        <v>95.699999999999989</v>
      </c>
      <c r="AK125" s="12">
        <v>0</v>
      </c>
      <c r="AL125" s="9">
        <f>SUM(X125+AA125+AD125+AF125+AG125+AK125)</f>
        <v>99.999999999999986</v>
      </c>
      <c r="AM125" s="9" t="s">
        <v>460</v>
      </c>
      <c r="AN125" s="2" t="s">
        <v>570</v>
      </c>
      <c r="AQ125" s="9">
        <f>AVERAGE(2.8,6,4.5)</f>
        <v>4.4333333333333336</v>
      </c>
      <c r="AR125" s="9" t="s">
        <v>712</v>
      </c>
      <c r="AS125" s="9">
        <v>4.4333333333333336</v>
      </c>
      <c r="AT125" s="9" t="s">
        <v>855</v>
      </c>
      <c r="AU125" s="9"/>
      <c r="AX125" s="2">
        <v>15</v>
      </c>
      <c r="AY125" s="9" t="s">
        <v>1172</v>
      </c>
      <c r="AZ125" s="9" t="s">
        <v>855</v>
      </c>
      <c r="BA125" s="16"/>
      <c r="BB125" s="16"/>
      <c r="BC125" s="16"/>
      <c r="BD125" s="16"/>
      <c r="BE125" s="16"/>
      <c r="BF125" s="16"/>
      <c r="BG125" s="16"/>
    </row>
    <row r="126" spans="1:59">
      <c r="A126" s="2" t="s">
        <v>121</v>
      </c>
      <c r="B126" s="2" t="s">
        <v>1404</v>
      </c>
      <c r="C126" s="2" t="s">
        <v>121</v>
      </c>
      <c r="E126" s="2" t="s">
        <v>294</v>
      </c>
      <c r="F126" s="2">
        <v>0</v>
      </c>
      <c r="G126" s="2">
        <f t="shared" si="66"/>
        <v>1.1383026981662814</v>
      </c>
      <c r="L126" s="2">
        <f t="shared" si="64"/>
        <v>0.6020599913279624</v>
      </c>
      <c r="N126" s="2">
        <v>1</v>
      </c>
      <c r="O126" s="12">
        <v>13.75</v>
      </c>
      <c r="P126" s="2">
        <v>2</v>
      </c>
      <c r="Q126" s="2" t="s">
        <v>318</v>
      </c>
      <c r="R126" s="9" t="s">
        <v>308</v>
      </c>
      <c r="U126" s="2"/>
      <c r="V126" s="2"/>
      <c r="W126" s="2"/>
      <c r="AQ126" s="2">
        <v>4</v>
      </c>
      <c r="AR126" s="2" t="s">
        <v>697</v>
      </c>
      <c r="AS126" s="2">
        <v>4</v>
      </c>
      <c r="AT126" s="2" t="s">
        <v>612</v>
      </c>
      <c r="BA126" s="16"/>
      <c r="BB126" s="16"/>
      <c r="BC126" s="16"/>
      <c r="BD126" s="16"/>
      <c r="BE126" s="16"/>
      <c r="BF126" s="16"/>
      <c r="BG126" s="16"/>
    </row>
    <row r="127" spans="1:59">
      <c r="A127" s="2" t="s">
        <v>122</v>
      </c>
      <c r="B127" s="2" t="s">
        <v>1405</v>
      </c>
      <c r="C127" s="2" t="s">
        <v>122</v>
      </c>
      <c r="E127" s="2" t="s">
        <v>297</v>
      </c>
      <c r="F127" s="2">
        <v>0</v>
      </c>
      <c r="G127" s="2">
        <f t="shared" si="66"/>
        <v>2.0346942207013741</v>
      </c>
      <c r="H127" s="2">
        <f t="shared" si="33"/>
        <v>3.8423075414519179</v>
      </c>
      <c r="I127" s="2">
        <f t="shared" ref="I127:J131" si="67">LOG(X127)</f>
        <v>0.3010299956639812</v>
      </c>
      <c r="J127" s="2">
        <f t="shared" si="67"/>
        <v>1.8736111969964673</v>
      </c>
      <c r="K127" s="2">
        <f t="shared" ref="K127:K140" si="68">LOG(AG127)</f>
        <v>1.1613680022349748</v>
      </c>
      <c r="L127" s="2">
        <f t="shared" si="64"/>
        <v>0.4887521050882882</v>
      </c>
      <c r="M127" s="2">
        <f>LOG(AX127)</f>
        <v>1.5440680443502757</v>
      </c>
      <c r="N127" s="2">
        <v>1</v>
      </c>
      <c r="O127" s="12">
        <v>108.31640082711716</v>
      </c>
      <c r="P127" s="2">
        <v>26</v>
      </c>
      <c r="Q127" s="2" t="s">
        <v>316</v>
      </c>
      <c r="R127" s="9" t="s">
        <v>308</v>
      </c>
      <c r="S127" s="13">
        <v>6955.166666666667</v>
      </c>
      <c r="T127" s="8">
        <v>6</v>
      </c>
      <c r="U127" s="9" t="s">
        <v>316</v>
      </c>
      <c r="V127" s="9" t="s">
        <v>312</v>
      </c>
      <c r="W127" s="9" t="s">
        <v>311</v>
      </c>
      <c r="X127" s="2">
        <f>AVERAGE(0,5,1)</f>
        <v>2</v>
      </c>
      <c r="Y127" s="2">
        <f>AVERAGE(89,77,71,62)</f>
        <v>74.75</v>
      </c>
      <c r="Z127" s="2">
        <v>2</v>
      </c>
      <c r="AA127" s="2">
        <f t="shared" ref="AA127:AA141" si="69">Y127+Z127</f>
        <v>76.75</v>
      </c>
      <c r="AC127" s="2">
        <f>AVERAGE(5,4,9,4)</f>
        <v>5.5</v>
      </c>
      <c r="AD127" s="2">
        <f t="shared" ref="AD127:AD140" si="70">AB127+AC127</f>
        <v>5.5</v>
      </c>
      <c r="AE127" s="9">
        <f t="shared" ref="AE127:AE141" si="71">AA127+AD127</f>
        <v>82.25</v>
      </c>
      <c r="AG127" s="2">
        <v>14.5</v>
      </c>
      <c r="AH127" s="2">
        <v>12</v>
      </c>
      <c r="AI127" s="2">
        <v>15</v>
      </c>
      <c r="AJ127" s="2">
        <f t="shared" ref="AJ127:AJ141" si="72">AG127</f>
        <v>14.5</v>
      </c>
      <c r="AK127" s="2">
        <v>1.2</v>
      </c>
      <c r="AL127" s="9">
        <f t="shared" ref="AL127:AL141" si="73">SUM(X127+AA127+AD127+AF127+AG127+AK127)</f>
        <v>99.95</v>
      </c>
      <c r="AM127" s="9" t="s">
        <v>458</v>
      </c>
      <c r="AN127" s="2" t="s">
        <v>571</v>
      </c>
      <c r="AQ127" s="2">
        <f>AVERAGE(2.45,2.9,3.5,2.79,3.16,3.57,3.2)</f>
        <v>3.0814285714285714</v>
      </c>
      <c r="AR127" s="2" t="s">
        <v>697</v>
      </c>
      <c r="AS127" s="2">
        <v>3.0814285714285714</v>
      </c>
      <c r="AT127" s="2" t="s">
        <v>813</v>
      </c>
      <c r="AX127" s="2">
        <v>35</v>
      </c>
      <c r="AZ127" s="2" t="s">
        <v>572</v>
      </c>
      <c r="BA127" s="16"/>
      <c r="BB127" s="16"/>
      <c r="BC127" s="16"/>
      <c r="BD127" s="16"/>
      <c r="BE127" s="16"/>
      <c r="BF127" s="16"/>
      <c r="BG127" s="16"/>
    </row>
    <row r="128" spans="1:59">
      <c r="A128" s="2" t="s">
        <v>123</v>
      </c>
      <c r="B128" s="2" t="s">
        <v>123</v>
      </c>
      <c r="C128" s="2" t="s">
        <v>123</v>
      </c>
      <c r="E128" s="2" t="s">
        <v>297</v>
      </c>
      <c r="F128" s="2">
        <v>0</v>
      </c>
      <c r="G128" s="2">
        <f t="shared" si="66"/>
        <v>1.9820030672503113</v>
      </c>
      <c r="H128" s="2">
        <f t="shared" si="33"/>
        <v>3.7671558660821804</v>
      </c>
      <c r="I128" s="2">
        <f t="shared" si="67"/>
        <v>0</v>
      </c>
      <c r="J128" s="2">
        <f t="shared" si="67"/>
        <v>1.7596678446896306</v>
      </c>
      <c r="K128" s="2">
        <f t="shared" si="68"/>
        <v>1.5854607295085006</v>
      </c>
      <c r="L128" s="2">
        <f t="shared" si="64"/>
        <v>0.64345267648618742</v>
      </c>
      <c r="M128" s="2">
        <f>LOG(AX128)</f>
        <v>1.4623979978989561</v>
      </c>
      <c r="N128" s="2">
        <v>1</v>
      </c>
      <c r="O128" s="12">
        <v>95.94074074074075</v>
      </c>
      <c r="P128" s="2">
        <v>27</v>
      </c>
      <c r="Q128" s="2" t="s">
        <v>316</v>
      </c>
      <c r="R128" s="9" t="s">
        <v>308</v>
      </c>
      <c r="S128" s="13">
        <v>5850</v>
      </c>
      <c r="T128" s="8">
        <v>29</v>
      </c>
      <c r="U128" s="9" t="s">
        <v>316</v>
      </c>
      <c r="V128" s="2" t="s">
        <v>306</v>
      </c>
      <c r="W128" s="2" t="s">
        <v>307</v>
      </c>
      <c r="X128" s="2">
        <v>1</v>
      </c>
      <c r="Y128" s="2">
        <v>57.5</v>
      </c>
      <c r="AA128" s="2">
        <f t="shared" si="69"/>
        <v>57.5</v>
      </c>
      <c r="AC128" s="2">
        <v>3</v>
      </c>
      <c r="AD128" s="2">
        <f t="shared" si="70"/>
        <v>3</v>
      </c>
      <c r="AE128" s="9">
        <f t="shared" si="71"/>
        <v>60.5</v>
      </c>
      <c r="AG128" s="2">
        <v>38.5</v>
      </c>
      <c r="AJ128" s="2">
        <f t="shared" si="72"/>
        <v>38.5</v>
      </c>
      <c r="AK128" s="2">
        <v>0</v>
      </c>
      <c r="AL128" s="9">
        <f t="shared" si="73"/>
        <v>100</v>
      </c>
      <c r="AM128" s="9" t="s">
        <v>460</v>
      </c>
      <c r="AN128" s="2" t="s">
        <v>572</v>
      </c>
      <c r="AQ128" s="2">
        <v>4.4000000000000004</v>
      </c>
      <c r="AS128" s="2">
        <v>4.4000000000000004</v>
      </c>
      <c r="AT128" s="2" t="s">
        <v>856</v>
      </c>
      <c r="AX128" s="2">
        <v>29</v>
      </c>
      <c r="AZ128" s="2" t="s">
        <v>572</v>
      </c>
      <c r="BA128" s="16"/>
      <c r="BB128" s="16"/>
      <c r="BC128" s="16"/>
      <c r="BD128" s="16"/>
      <c r="BE128" s="16"/>
      <c r="BF128" s="16"/>
      <c r="BG128" s="16"/>
    </row>
    <row r="129" spans="1:59">
      <c r="A129" s="2" t="s">
        <v>124</v>
      </c>
      <c r="B129" s="2" t="s">
        <v>124</v>
      </c>
      <c r="C129" s="2" t="s">
        <v>124</v>
      </c>
      <c r="E129" s="2" t="s">
        <v>297</v>
      </c>
      <c r="F129" s="2">
        <v>0</v>
      </c>
      <c r="G129" s="2">
        <f t="shared" si="66"/>
        <v>1.926085086925144</v>
      </c>
      <c r="I129" s="2">
        <f t="shared" si="67"/>
        <v>0.47712125471966244</v>
      </c>
      <c r="J129" s="2">
        <f t="shared" si="67"/>
        <v>1.7634279935629373</v>
      </c>
      <c r="K129" s="2">
        <f t="shared" si="68"/>
        <v>1.3891660843645324</v>
      </c>
      <c r="N129" s="2">
        <v>1</v>
      </c>
      <c r="O129" s="12">
        <v>84.35</v>
      </c>
      <c r="P129" s="2">
        <v>2</v>
      </c>
      <c r="Q129" s="2" t="s">
        <v>318</v>
      </c>
      <c r="R129" s="9" t="s">
        <v>308</v>
      </c>
      <c r="S129" s="13"/>
      <c r="T129" s="10"/>
      <c r="U129" s="9"/>
      <c r="V129" s="2"/>
      <c r="W129" s="2"/>
      <c r="X129" s="2">
        <v>3</v>
      </c>
      <c r="Y129" s="2">
        <f>AVERAGE(53,63)</f>
        <v>58</v>
      </c>
      <c r="AA129" s="2">
        <f t="shared" si="69"/>
        <v>58</v>
      </c>
      <c r="AC129" s="2">
        <f>AVERAGE(20,5)</f>
        <v>12.5</v>
      </c>
      <c r="AD129" s="2">
        <f t="shared" si="70"/>
        <v>12.5</v>
      </c>
      <c r="AE129" s="9">
        <f t="shared" si="71"/>
        <v>70.5</v>
      </c>
      <c r="AG129" s="2">
        <v>24.5</v>
      </c>
      <c r="AH129" s="2">
        <f>AVERAGE(24,25)</f>
        <v>24.5</v>
      </c>
      <c r="AI129" s="2">
        <v>0</v>
      </c>
      <c r="AJ129" s="2">
        <f t="shared" si="72"/>
        <v>24.5</v>
      </c>
      <c r="AK129" s="2">
        <v>2</v>
      </c>
      <c r="AL129" s="9">
        <f t="shared" si="73"/>
        <v>100</v>
      </c>
      <c r="AM129" s="9" t="s">
        <v>458</v>
      </c>
      <c r="AN129" s="2" t="s">
        <v>573</v>
      </c>
      <c r="BA129" s="16"/>
      <c r="BB129" s="16"/>
      <c r="BC129" s="16"/>
      <c r="BD129" s="16"/>
      <c r="BE129" s="16"/>
      <c r="BF129" s="16"/>
      <c r="BG129" s="16"/>
    </row>
    <row r="130" spans="1:59">
      <c r="A130" s="2" t="s">
        <v>125</v>
      </c>
      <c r="B130" s="2" t="s">
        <v>125</v>
      </c>
      <c r="C130" s="2" t="s">
        <v>125</v>
      </c>
      <c r="E130" s="2" t="s">
        <v>297</v>
      </c>
      <c r="F130" s="2">
        <v>0</v>
      </c>
      <c r="G130" s="2">
        <f t="shared" si="66"/>
        <v>1.9422734449661543</v>
      </c>
      <c r="H130" s="2">
        <f t="shared" si="33"/>
        <v>3.7630534402996147</v>
      </c>
      <c r="I130" s="2">
        <f t="shared" si="67"/>
        <v>1.414973347970818</v>
      </c>
      <c r="J130" s="2">
        <f t="shared" si="67"/>
        <v>1.8573324964312685</v>
      </c>
      <c r="K130" s="2">
        <f t="shared" si="68"/>
        <v>0.3010299956639812</v>
      </c>
      <c r="L130" s="2">
        <f t="shared" ref="L130:L137" si="74">LOG(AS130)</f>
        <v>0.62324929039790045</v>
      </c>
      <c r="M130" s="2">
        <f t="shared" ref="M130:M137" si="75">LOG(AX130)</f>
        <v>1.505149978319906</v>
      </c>
      <c r="N130" s="2">
        <v>1</v>
      </c>
      <c r="O130" s="12">
        <v>87.55348650000002</v>
      </c>
      <c r="P130" s="2">
        <v>20</v>
      </c>
      <c r="Q130" s="2" t="s">
        <v>316</v>
      </c>
      <c r="R130" s="9" t="s">
        <v>308</v>
      </c>
      <c r="S130" s="13">
        <v>5795</v>
      </c>
      <c r="T130" s="10">
        <v>6</v>
      </c>
      <c r="U130" s="9" t="s">
        <v>316</v>
      </c>
      <c r="V130" s="2" t="s">
        <v>306</v>
      </c>
      <c r="W130" s="2" t="s">
        <v>370</v>
      </c>
      <c r="X130" s="2">
        <v>26</v>
      </c>
      <c r="Y130" s="2">
        <v>72</v>
      </c>
      <c r="AA130" s="2">
        <f t="shared" si="69"/>
        <v>72</v>
      </c>
      <c r="AC130" s="2">
        <v>0</v>
      </c>
      <c r="AD130" s="2">
        <f t="shared" si="70"/>
        <v>0</v>
      </c>
      <c r="AE130" s="9">
        <f t="shared" si="71"/>
        <v>72</v>
      </c>
      <c r="AG130" s="2">
        <v>2</v>
      </c>
      <c r="AJ130" s="2">
        <f t="shared" si="72"/>
        <v>2</v>
      </c>
      <c r="AK130" s="2">
        <v>0</v>
      </c>
      <c r="AL130" s="9">
        <f t="shared" si="73"/>
        <v>100</v>
      </c>
      <c r="AM130" s="9" t="s">
        <v>460</v>
      </c>
      <c r="AN130" s="2" t="s">
        <v>574</v>
      </c>
      <c r="AQ130" s="2">
        <f>AVERAGE(3.4,5)</f>
        <v>4.2</v>
      </c>
      <c r="AR130" s="2" t="s">
        <v>857</v>
      </c>
      <c r="AS130" s="2">
        <v>4.2</v>
      </c>
      <c r="AT130" s="2" t="s">
        <v>858</v>
      </c>
      <c r="AX130" s="2">
        <v>32</v>
      </c>
      <c r="AY130" s="2" t="s">
        <v>812</v>
      </c>
      <c r="AZ130" s="2" t="s">
        <v>572</v>
      </c>
      <c r="BA130" s="16"/>
      <c r="BB130" s="16"/>
      <c r="BC130" s="16"/>
      <c r="BD130" s="16"/>
      <c r="BE130" s="16"/>
      <c r="BF130" s="16"/>
      <c r="BG130" s="16"/>
    </row>
    <row r="131" spans="1:59">
      <c r="A131" s="2" t="s">
        <v>126</v>
      </c>
      <c r="B131" s="2" t="s">
        <v>126</v>
      </c>
      <c r="C131" s="2" t="s">
        <v>126</v>
      </c>
      <c r="E131" s="2" t="s">
        <v>297</v>
      </c>
      <c r="F131" s="2">
        <v>0</v>
      </c>
      <c r="G131" s="2">
        <f t="shared" si="66"/>
        <v>2.0059419998694352</v>
      </c>
      <c r="H131" s="2">
        <f t="shared" ref="H131:H194" si="76">LOG(S131)</f>
        <v>3.7501241522099984</v>
      </c>
      <c r="I131" s="2">
        <f t="shared" si="67"/>
        <v>0.98527674317929359</v>
      </c>
      <c r="J131" s="2">
        <f t="shared" si="67"/>
        <v>1.8041394323353503</v>
      </c>
      <c r="K131" s="2">
        <f t="shared" si="68"/>
        <v>1.3921104650113139</v>
      </c>
      <c r="L131" s="2">
        <f t="shared" si="74"/>
        <v>0.64147411050409953</v>
      </c>
      <c r="M131" s="2">
        <f t="shared" si="75"/>
        <v>1.6812412373755872</v>
      </c>
      <c r="N131" s="2">
        <v>1</v>
      </c>
      <c r="O131" s="12">
        <v>101.37759866732907</v>
      </c>
      <c r="P131" s="2">
        <v>237</v>
      </c>
      <c r="Q131" s="2" t="s">
        <v>316</v>
      </c>
      <c r="R131" s="9" t="s">
        <v>308</v>
      </c>
      <c r="S131" s="13">
        <v>5625.0210526315786</v>
      </c>
      <c r="T131" s="8">
        <v>95</v>
      </c>
      <c r="U131" s="9" t="s">
        <v>316</v>
      </c>
      <c r="V131" s="9" t="s">
        <v>312</v>
      </c>
      <c r="W131" s="9" t="s">
        <v>311</v>
      </c>
      <c r="X131" s="9">
        <f>AVERAGE(0,13,5,24,9,7)</f>
        <v>9.6666666666666661</v>
      </c>
      <c r="Y131" s="9">
        <f>AVERAGE(67,50,64,71,66,66)-0.3</f>
        <v>63.7</v>
      </c>
      <c r="Z131" s="9"/>
      <c r="AA131" s="2">
        <f t="shared" si="69"/>
        <v>63.7</v>
      </c>
      <c r="AB131" s="9"/>
      <c r="AC131" s="9">
        <f>AVERAGE(0,7,1,1,1,2)</f>
        <v>2</v>
      </c>
      <c r="AD131" s="2">
        <f t="shared" si="70"/>
        <v>2</v>
      </c>
      <c r="AE131" s="9">
        <f t="shared" si="71"/>
        <v>65.7</v>
      </c>
      <c r="AF131" s="9"/>
      <c r="AG131" s="9">
        <v>24.666666666666668</v>
      </c>
      <c r="AH131" s="9"/>
      <c r="AI131" s="9"/>
      <c r="AJ131" s="2">
        <f t="shared" si="72"/>
        <v>24.666666666666668</v>
      </c>
      <c r="AK131" s="9">
        <v>0</v>
      </c>
      <c r="AL131" s="9">
        <f t="shared" si="73"/>
        <v>100.03333333333335</v>
      </c>
      <c r="AM131" s="9" t="s">
        <v>458</v>
      </c>
      <c r="AN131" s="2" t="s">
        <v>572</v>
      </c>
      <c r="AO131" s="9"/>
      <c r="AP131" s="9"/>
      <c r="AQ131" s="9">
        <f>AVERAGE(3.84,4.4,4.9)</f>
        <v>4.38</v>
      </c>
      <c r="AR131" s="9" t="s">
        <v>859</v>
      </c>
      <c r="AS131" s="9">
        <v>4.38</v>
      </c>
      <c r="AT131" s="2" t="s">
        <v>813</v>
      </c>
      <c r="AV131" s="9"/>
      <c r="AW131" s="9"/>
      <c r="AX131" s="9">
        <v>48</v>
      </c>
      <c r="AY131" s="9" t="s">
        <v>1173</v>
      </c>
      <c r="AZ131" s="2" t="s">
        <v>572</v>
      </c>
      <c r="BA131" s="17"/>
      <c r="BB131" s="17"/>
      <c r="BC131" s="17"/>
      <c r="BD131" s="17"/>
      <c r="BE131" s="17"/>
      <c r="BF131" s="17"/>
      <c r="BG131" s="17"/>
    </row>
    <row r="132" spans="1:59">
      <c r="A132" s="2" t="s">
        <v>127</v>
      </c>
      <c r="B132" s="2" t="s">
        <v>127</v>
      </c>
      <c r="C132" s="2" t="s">
        <v>127</v>
      </c>
      <c r="E132" s="2" t="s">
        <v>297</v>
      </c>
      <c r="F132" s="2">
        <v>0</v>
      </c>
      <c r="G132" s="2">
        <f t="shared" si="66"/>
        <v>1.9706686685584147</v>
      </c>
      <c r="H132" s="2">
        <f t="shared" si="76"/>
        <v>3.8071966607109471</v>
      </c>
      <c r="J132" s="2">
        <f t="shared" ref="J132:J141" si="77">LOG(Y132)</f>
        <v>1.7853298350107671</v>
      </c>
      <c r="K132" s="2">
        <f t="shared" si="68"/>
        <v>1.5797835966168101</v>
      </c>
      <c r="L132" s="2">
        <f t="shared" si="74"/>
        <v>0.54406804435027567</v>
      </c>
      <c r="M132" s="2">
        <f t="shared" si="75"/>
        <v>1.2304489213782739</v>
      </c>
      <c r="N132" s="2">
        <v>1</v>
      </c>
      <c r="O132" s="12">
        <v>93.469230769230791</v>
      </c>
      <c r="P132" s="2">
        <v>13</v>
      </c>
      <c r="Q132" s="2" t="s">
        <v>316</v>
      </c>
      <c r="R132" s="9" t="s">
        <v>308</v>
      </c>
      <c r="S132" s="13">
        <v>6415</v>
      </c>
      <c r="T132" s="8">
        <v>2</v>
      </c>
      <c r="U132" s="9" t="s">
        <v>316</v>
      </c>
      <c r="V132" s="2" t="s">
        <v>310</v>
      </c>
      <c r="W132" s="2" t="s">
        <v>370</v>
      </c>
      <c r="X132" s="2">
        <v>0</v>
      </c>
      <c r="Y132" s="2">
        <v>61</v>
      </c>
      <c r="AA132" s="2">
        <f t="shared" si="69"/>
        <v>61</v>
      </c>
      <c r="AC132" s="2">
        <v>1</v>
      </c>
      <c r="AD132" s="2">
        <f t="shared" si="70"/>
        <v>1</v>
      </c>
      <c r="AE132" s="9">
        <f t="shared" si="71"/>
        <v>62</v>
      </c>
      <c r="AG132" s="2">
        <v>38</v>
      </c>
      <c r="AJ132" s="2">
        <f t="shared" si="72"/>
        <v>38</v>
      </c>
      <c r="AK132" s="2">
        <v>0</v>
      </c>
      <c r="AL132" s="9">
        <f t="shared" si="73"/>
        <v>100</v>
      </c>
      <c r="AM132" s="9" t="s">
        <v>460</v>
      </c>
      <c r="AN132" s="2" t="s">
        <v>575</v>
      </c>
      <c r="AQ132" s="2">
        <v>3.5</v>
      </c>
      <c r="AR132" s="2" t="s">
        <v>860</v>
      </c>
      <c r="AS132" s="2">
        <v>3.5</v>
      </c>
      <c r="AT132" s="2" t="s">
        <v>861</v>
      </c>
      <c r="AX132" s="2">
        <v>17</v>
      </c>
      <c r="AZ132" s="2" t="s">
        <v>575</v>
      </c>
      <c r="BA132" s="16"/>
      <c r="BB132" s="16"/>
      <c r="BC132" s="16"/>
      <c r="BD132" s="16"/>
      <c r="BE132" s="16"/>
      <c r="BF132" s="16"/>
      <c r="BG132" s="16"/>
    </row>
    <row r="133" spans="1:59">
      <c r="A133" s="2" t="s">
        <v>128</v>
      </c>
      <c r="B133" s="2" t="s">
        <v>128</v>
      </c>
      <c r="C133" s="2" t="s">
        <v>128</v>
      </c>
      <c r="E133" s="2" t="s">
        <v>297</v>
      </c>
      <c r="F133" s="2">
        <v>0</v>
      </c>
      <c r="G133" s="2">
        <f t="shared" si="66"/>
        <v>1.9793516793979027</v>
      </c>
      <c r="H133" s="2">
        <f t="shared" si="76"/>
        <v>3.7518485494936495</v>
      </c>
      <c r="I133" s="2">
        <f>LOG(X133)</f>
        <v>0.3010299956639812</v>
      </c>
      <c r="J133" s="2">
        <f t="shared" si="77"/>
        <v>1.7558748556724915</v>
      </c>
      <c r="K133" s="2">
        <f t="shared" si="68"/>
        <v>1.5314789170422551</v>
      </c>
      <c r="L133" s="2">
        <f t="shared" si="74"/>
        <v>0.5250448070368452</v>
      </c>
      <c r="M133" s="2">
        <f t="shared" si="75"/>
        <v>1.6434526764861874</v>
      </c>
      <c r="N133" s="2">
        <v>1</v>
      </c>
      <c r="O133" s="12">
        <v>95.356802390340491</v>
      </c>
      <c r="P133" s="2">
        <v>66</v>
      </c>
      <c r="Q133" s="2" t="s">
        <v>316</v>
      </c>
      <c r="R133" s="9" t="s">
        <v>308</v>
      </c>
      <c r="S133" s="13">
        <v>5647.4</v>
      </c>
      <c r="T133" s="8">
        <v>13</v>
      </c>
      <c r="U133" s="9" t="s">
        <v>316</v>
      </c>
      <c r="V133" s="9" t="s">
        <v>312</v>
      </c>
      <c r="W133" s="9" t="s">
        <v>311</v>
      </c>
      <c r="X133" s="2">
        <v>2</v>
      </c>
      <c r="Y133" s="2">
        <f>AVERAGE(62,58)-3</f>
        <v>57</v>
      </c>
      <c r="AA133" s="2">
        <f t="shared" si="69"/>
        <v>57</v>
      </c>
      <c r="AB133" s="2">
        <v>1.3</v>
      </c>
      <c r="AC133" s="2">
        <f>AVERAGE(7,12.1,4)-2</f>
        <v>5.7</v>
      </c>
      <c r="AD133" s="2">
        <f t="shared" si="70"/>
        <v>7</v>
      </c>
      <c r="AE133" s="9">
        <f t="shared" si="71"/>
        <v>64</v>
      </c>
      <c r="AG133" s="2">
        <v>34</v>
      </c>
      <c r="AJ133" s="2">
        <f t="shared" si="72"/>
        <v>34</v>
      </c>
      <c r="AK133" s="2">
        <v>0</v>
      </c>
      <c r="AL133" s="9">
        <f t="shared" si="73"/>
        <v>100</v>
      </c>
      <c r="AM133" s="9" t="s">
        <v>458</v>
      </c>
      <c r="AN133" s="2" t="s">
        <v>576</v>
      </c>
      <c r="AQ133" s="2">
        <f>AVERAGE(3,3.1,3.3,4)</f>
        <v>3.3499999999999996</v>
      </c>
      <c r="AR133" s="2" t="s">
        <v>717</v>
      </c>
      <c r="AS133" s="2">
        <v>3.3499999999999996</v>
      </c>
      <c r="AT133" s="2" t="s">
        <v>813</v>
      </c>
      <c r="AX133" s="2">
        <v>44</v>
      </c>
      <c r="AZ133" s="2" t="s">
        <v>1174</v>
      </c>
      <c r="BA133" s="16"/>
      <c r="BB133" s="16"/>
      <c r="BC133" s="16"/>
      <c r="BD133" s="16"/>
      <c r="BE133" s="16"/>
      <c r="BF133" s="16"/>
      <c r="BG133" s="16"/>
    </row>
    <row r="134" spans="1:59">
      <c r="A134" s="2" t="s">
        <v>129</v>
      </c>
      <c r="B134" s="2" t="s">
        <v>129</v>
      </c>
      <c r="C134" s="2" t="s">
        <v>129</v>
      </c>
      <c r="E134" s="2" t="s">
        <v>297</v>
      </c>
      <c r="F134" s="2">
        <v>0</v>
      </c>
      <c r="G134" s="2">
        <f t="shared" si="66"/>
        <v>1.9278074415577133</v>
      </c>
      <c r="H134" s="2">
        <f t="shared" si="76"/>
        <v>3.7379873263334309</v>
      </c>
      <c r="I134" s="2">
        <f>LOG(X134)</f>
        <v>1.0413926851582251</v>
      </c>
      <c r="J134" s="2">
        <f t="shared" si="77"/>
        <v>1.8293037728310249</v>
      </c>
      <c r="K134" s="2">
        <f t="shared" si="68"/>
        <v>1.3010299956639813</v>
      </c>
      <c r="L134" s="2">
        <f t="shared" si="74"/>
        <v>0.6020599913279624</v>
      </c>
      <c r="M134" s="2">
        <f t="shared" si="75"/>
        <v>1.5797835966168101</v>
      </c>
      <c r="N134" s="2">
        <v>1</v>
      </c>
      <c r="O134" s="7">
        <v>84.68518518518519</v>
      </c>
      <c r="P134" s="8">
        <v>9</v>
      </c>
      <c r="Q134" s="21" t="s">
        <v>371</v>
      </c>
      <c r="R134" s="9" t="s">
        <v>306</v>
      </c>
      <c r="S134" s="13">
        <v>5470</v>
      </c>
      <c r="T134" s="10">
        <v>2</v>
      </c>
      <c r="U134" s="9" t="s">
        <v>316</v>
      </c>
      <c r="V134" s="2" t="s">
        <v>306</v>
      </c>
      <c r="W134" s="2" t="s">
        <v>307</v>
      </c>
      <c r="X134" s="2">
        <f>AVERAGE(15,7)</f>
        <v>11</v>
      </c>
      <c r="Y134" s="2">
        <f>AVERAGE(71,64)</f>
        <v>67.5</v>
      </c>
      <c r="AA134" s="2">
        <f t="shared" si="69"/>
        <v>67.5</v>
      </c>
      <c r="AC134" s="2">
        <f>AVERAGE(0,2)</f>
        <v>1</v>
      </c>
      <c r="AD134" s="2">
        <f t="shared" si="70"/>
        <v>1</v>
      </c>
      <c r="AE134" s="9">
        <f t="shared" si="71"/>
        <v>68.5</v>
      </c>
      <c r="AG134" s="2">
        <v>20</v>
      </c>
      <c r="AJ134" s="2">
        <f t="shared" si="72"/>
        <v>20</v>
      </c>
      <c r="AK134" s="2">
        <v>0.5</v>
      </c>
      <c r="AL134" s="9">
        <f t="shared" si="73"/>
        <v>100</v>
      </c>
      <c r="AM134" s="9" t="s">
        <v>458</v>
      </c>
      <c r="AN134" s="2" t="s">
        <v>572</v>
      </c>
      <c r="AQ134" s="2">
        <v>4</v>
      </c>
      <c r="AR134" s="2" t="s">
        <v>697</v>
      </c>
      <c r="AS134" s="2">
        <v>4</v>
      </c>
      <c r="AT134" s="2" t="s">
        <v>862</v>
      </c>
      <c r="AX134" s="2">
        <v>38</v>
      </c>
      <c r="AY134" s="2" t="s">
        <v>773</v>
      </c>
      <c r="AZ134" s="2" t="s">
        <v>572</v>
      </c>
      <c r="BA134" s="16"/>
      <c r="BB134" s="16"/>
      <c r="BC134" s="16"/>
      <c r="BD134" s="16"/>
      <c r="BE134" s="16"/>
      <c r="BF134" s="16"/>
      <c r="BG134" s="16"/>
    </row>
    <row r="135" spans="1:59">
      <c r="A135" s="2" t="s">
        <v>130</v>
      </c>
      <c r="B135" s="2" t="s">
        <v>130</v>
      </c>
      <c r="C135" s="2" t="s">
        <v>130</v>
      </c>
      <c r="E135" s="2" t="s">
        <v>279</v>
      </c>
      <c r="F135" s="2">
        <v>0</v>
      </c>
      <c r="G135" s="2">
        <f t="shared" si="66"/>
        <v>1.5441753110795771</v>
      </c>
      <c r="H135" s="2">
        <f t="shared" si="76"/>
        <v>3.8119099804200989</v>
      </c>
      <c r="J135" s="2">
        <f t="shared" si="77"/>
        <v>1.2573185130976385</v>
      </c>
      <c r="K135" s="2">
        <f t="shared" si="68"/>
        <v>1.7444494574467984</v>
      </c>
      <c r="L135" s="2">
        <f t="shared" si="74"/>
        <v>0.6020599913279624</v>
      </c>
      <c r="M135" s="2">
        <f t="shared" si="75"/>
        <v>1.4353665066126613</v>
      </c>
      <c r="N135" s="2">
        <v>1</v>
      </c>
      <c r="O135" s="12">
        <v>35.008645744680848</v>
      </c>
      <c r="P135" s="2">
        <v>47</v>
      </c>
      <c r="Q135" s="2" t="s">
        <v>316</v>
      </c>
      <c r="R135" s="9" t="s">
        <v>308</v>
      </c>
      <c r="S135" s="13">
        <v>6485</v>
      </c>
      <c r="T135" s="8">
        <v>4</v>
      </c>
      <c r="U135" s="9" t="s">
        <v>316</v>
      </c>
      <c r="V135" s="2" t="s">
        <v>372</v>
      </c>
      <c r="W135" s="2"/>
      <c r="X135" s="2">
        <v>0</v>
      </c>
      <c r="Y135" s="2">
        <f>AVERAGE(23.14,26,18.51,4.69)</f>
        <v>18.085000000000001</v>
      </c>
      <c r="AA135" s="2">
        <f t="shared" si="69"/>
        <v>18.085000000000001</v>
      </c>
      <c r="AC135" s="2">
        <f>AVERAGE(0,2.14,7.71,6.55)</f>
        <v>4.0999999999999996</v>
      </c>
      <c r="AD135" s="2">
        <f t="shared" si="70"/>
        <v>4.0999999999999996</v>
      </c>
      <c r="AE135" s="9">
        <f t="shared" si="71"/>
        <v>22.185000000000002</v>
      </c>
      <c r="AG135" s="9">
        <v>55.519999999999989</v>
      </c>
      <c r="AH135" s="2">
        <f>AVERAGE(31.17,35.71,71.21,75.39)</f>
        <v>53.36999999999999</v>
      </c>
      <c r="AI135" s="2">
        <f>AVERAGE(0.31,0.79,1.24,6.26)</f>
        <v>2.15</v>
      </c>
      <c r="AJ135" s="2">
        <f t="shared" si="72"/>
        <v>55.519999999999989</v>
      </c>
      <c r="AK135" s="2">
        <v>22.3</v>
      </c>
      <c r="AL135" s="9">
        <f t="shared" si="73"/>
        <v>100.00499999999998</v>
      </c>
      <c r="AM135" s="9" t="s">
        <v>458</v>
      </c>
      <c r="AN135" s="9" t="s">
        <v>577</v>
      </c>
      <c r="AQ135" s="2">
        <v>4</v>
      </c>
      <c r="AR135" s="2" t="s">
        <v>863</v>
      </c>
      <c r="AS135" s="2">
        <v>4</v>
      </c>
      <c r="AT135" s="9" t="s">
        <v>795</v>
      </c>
      <c r="AU135" s="2">
        <f>AVERAGE(300,800)</f>
        <v>550</v>
      </c>
      <c r="AX135" s="2">
        <v>27.25</v>
      </c>
      <c r="AY135" s="2" t="s">
        <v>1175</v>
      </c>
      <c r="AZ135" s="9" t="s">
        <v>1176</v>
      </c>
      <c r="BA135" s="16"/>
      <c r="BB135" s="16"/>
      <c r="BC135" s="16"/>
      <c r="BD135" s="16"/>
      <c r="BE135" s="16"/>
      <c r="BF135" s="16"/>
      <c r="BG135" s="16"/>
    </row>
    <row r="136" spans="1:59">
      <c r="A136" s="2" t="s">
        <v>131</v>
      </c>
      <c r="B136" s="2" t="s">
        <v>131</v>
      </c>
      <c r="C136" s="2" t="s">
        <v>131</v>
      </c>
      <c r="D136" s="2" t="s">
        <v>278</v>
      </c>
      <c r="E136" s="2" t="s">
        <v>275</v>
      </c>
      <c r="F136" s="2">
        <v>0</v>
      </c>
      <c r="G136" s="2">
        <f t="shared" si="66"/>
        <v>1.9832997219452608</v>
      </c>
      <c r="H136" s="2">
        <f t="shared" si="76"/>
        <v>3.8549130223078554</v>
      </c>
      <c r="I136" s="2">
        <f t="shared" ref="I136:I141" si="78">LOG(X136)</f>
        <v>0</v>
      </c>
      <c r="J136" s="2">
        <f t="shared" si="77"/>
        <v>1.9000939015433984</v>
      </c>
      <c r="K136" s="2">
        <f t="shared" si="68"/>
        <v>1.209515014542631</v>
      </c>
      <c r="L136" s="2">
        <f t="shared" si="74"/>
        <v>1.667452952889954</v>
      </c>
      <c r="M136" s="2">
        <f t="shared" si="75"/>
        <v>3.0090257420869104</v>
      </c>
      <c r="N136" s="2">
        <v>1</v>
      </c>
      <c r="O136" s="12">
        <v>96.227615</v>
      </c>
      <c r="P136" s="2">
        <v>18</v>
      </c>
      <c r="Q136" s="9" t="s">
        <v>305</v>
      </c>
      <c r="R136" s="9" t="s">
        <v>308</v>
      </c>
      <c r="S136" s="13">
        <v>7160</v>
      </c>
      <c r="T136" s="10">
        <v>3</v>
      </c>
      <c r="U136" s="9" t="s">
        <v>305</v>
      </c>
      <c r="V136" s="2" t="s">
        <v>373</v>
      </c>
      <c r="W136" s="2" t="s">
        <v>307</v>
      </c>
      <c r="X136" s="2">
        <v>1</v>
      </c>
      <c r="Y136" s="2">
        <f>AVERAGE(67.4,91.5)</f>
        <v>79.45</v>
      </c>
      <c r="AA136" s="2">
        <f t="shared" si="69"/>
        <v>79.45</v>
      </c>
      <c r="AC136" s="2">
        <f>AVERAGE(3.1,0.9)</f>
        <v>2</v>
      </c>
      <c r="AD136" s="2">
        <f t="shared" si="70"/>
        <v>2</v>
      </c>
      <c r="AE136" s="9">
        <f t="shared" si="71"/>
        <v>81.45</v>
      </c>
      <c r="AG136" s="2">
        <v>16.2</v>
      </c>
      <c r="AH136" s="2">
        <f>AVERAGE(7.6,14.4)</f>
        <v>11</v>
      </c>
      <c r="AI136" s="2">
        <v>0.1</v>
      </c>
      <c r="AJ136" s="2">
        <f t="shared" si="72"/>
        <v>16.2</v>
      </c>
      <c r="AK136" s="2">
        <v>1.3</v>
      </c>
      <c r="AL136" s="9">
        <f t="shared" si="73"/>
        <v>99.95</v>
      </c>
      <c r="AM136" s="9" t="s">
        <v>458</v>
      </c>
      <c r="AN136" s="2" t="s">
        <v>578</v>
      </c>
      <c r="AQ136" s="2">
        <v>46.5</v>
      </c>
      <c r="AR136" s="2" t="s">
        <v>864</v>
      </c>
      <c r="AS136" s="2">
        <v>46.5</v>
      </c>
      <c r="AT136" s="2" t="s">
        <v>865</v>
      </c>
      <c r="AX136" s="2">
        <v>1021</v>
      </c>
      <c r="AZ136" s="2" t="s">
        <v>1177</v>
      </c>
      <c r="BA136" s="16"/>
      <c r="BB136" s="16"/>
      <c r="BC136" s="16"/>
      <c r="BD136" s="16"/>
      <c r="BE136" s="16"/>
      <c r="BF136" s="16"/>
      <c r="BG136" s="16"/>
    </row>
    <row r="137" spans="1:59">
      <c r="A137" s="2" t="s">
        <v>132</v>
      </c>
      <c r="B137" s="2" t="s">
        <v>132</v>
      </c>
      <c r="C137" s="2" t="s">
        <v>132</v>
      </c>
      <c r="D137" s="2" t="s">
        <v>278</v>
      </c>
      <c r="E137" s="2" t="s">
        <v>275</v>
      </c>
      <c r="F137" s="2">
        <v>0</v>
      </c>
      <c r="G137" s="2">
        <f t="shared" si="66"/>
        <v>1.9455581027002915</v>
      </c>
      <c r="H137" s="2">
        <f t="shared" si="76"/>
        <v>3.8463371121298051</v>
      </c>
      <c r="I137" s="2">
        <f t="shared" si="78"/>
        <v>1.0028856882374881</v>
      </c>
      <c r="J137" s="2">
        <f t="shared" si="77"/>
        <v>1.8241258339165489</v>
      </c>
      <c r="K137" s="2">
        <f t="shared" si="68"/>
        <v>1.1972805581256194</v>
      </c>
      <c r="L137" s="2">
        <f t="shared" si="74"/>
        <v>1.503790683057181</v>
      </c>
      <c r="M137" s="2">
        <f t="shared" si="75"/>
        <v>2.8450980400142569</v>
      </c>
      <c r="N137" s="2">
        <v>1</v>
      </c>
      <c r="O137" s="12">
        <v>88.218181818181819</v>
      </c>
      <c r="P137" s="2">
        <v>11</v>
      </c>
      <c r="Q137" s="9" t="s">
        <v>305</v>
      </c>
      <c r="R137" s="9" t="s">
        <v>308</v>
      </c>
      <c r="S137" s="13">
        <v>7020</v>
      </c>
      <c r="T137" s="8">
        <v>9</v>
      </c>
      <c r="U137" s="9" t="s">
        <v>305</v>
      </c>
      <c r="V137" s="2" t="s">
        <v>306</v>
      </c>
      <c r="W137" s="2" t="s">
        <v>374</v>
      </c>
      <c r="X137" s="2">
        <f>AVERAGE(4.9,13,12.3)</f>
        <v>10.066666666666666</v>
      </c>
      <c r="Y137" s="2">
        <f>AVERAGE(78.9,67,54.2)</f>
        <v>66.7</v>
      </c>
      <c r="Z137" s="9">
        <f>AVERAGE(4.3,2,6.45)</f>
        <v>4.25</v>
      </c>
      <c r="AA137" s="2">
        <f t="shared" si="69"/>
        <v>70.95</v>
      </c>
      <c r="AB137" s="9"/>
      <c r="AC137" s="2">
        <f>AVERAGE(0.1,2,7.15)</f>
        <v>3.0833333333333335</v>
      </c>
      <c r="AD137" s="2">
        <f t="shared" si="70"/>
        <v>3.0833333333333335</v>
      </c>
      <c r="AE137" s="9">
        <f t="shared" si="71"/>
        <v>74.033333333333331</v>
      </c>
      <c r="AF137" s="9"/>
      <c r="AG137" s="9">
        <v>15.75</v>
      </c>
      <c r="AH137" s="9">
        <f>AVERAGE(11.4,18.7)</f>
        <v>15.05</v>
      </c>
      <c r="AI137" s="9">
        <v>0.45</v>
      </c>
      <c r="AJ137" s="2">
        <f t="shared" si="72"/>
        <v>15.75</v>
      </c>
      <c r="AK137" s="2">
        <v>0.1</v>
      </c>
      <c r="AL137" s="9">
        <f t="shared" si="73"/>
        <v>99.949999999999989</v>
      </c>
      <c r="AM137" s="9" t="s">
        <v>458</v>
      </c>
      <c r="AN137" s="2" t="s">
        <v>579</v>
      </c>
      <c r="AO137" s="9"/>
      <c r="AP137" s="9"/>
      <c r="AQ137" s="9">
        <f>AVERAGE(21,28.5,42,45,23)</f>
        <v>31.9</v>
      </c>
      <c r="AR137" s="9" t="s">
        <v>866</v>
      </c>
      <c r="AS137" s="9">
        <v>31.9</v>
      </c>
      <c r="AT137" s="2" t="s">
        <v>867</v>
      </c>
      <c r="AU137" s="2">
        <f>AVERAGE(2880,2460,2339)</f>
        <v>2559.6666666666665</v>
      </c>
      <c r="AV137" s="9"/>
      <c r="AW137" s="9"/>
      <c r="AX137" s="9">
        <v>700</v>
      </c>
      <c r="AY137" s="9" t="s">
        <v>1178</v>
      </c>
      <c r="AZ137" s="2" t="s">
        <v>1179</v>
      </c>
      <c r="BA137" s="17"/>
      <c r="BB137" s="17"/>
      <c r="BC137" s="17"/>
      <c r="BD137" s="17"/>
      <c r="BE137" s="17"/>
      <c r="BF137" s="17"/>
      <c r="BG137" s="17"/>
    </row>
    <row r="138" spans="1:59">
      <c r="A138" s="2" t="s">
        <v>133</v>
      </c>
      <c r="B138" s="2" t="s">
        <v>133</v>
      </c>
      <c r="C138" s="2" t="s">
        <v>133</v>
      </c>
      <c r="D138" s="2" t="s">
        <v>278</v>
      </c>
      <c r="E138" s="2" t="s">
        <v>275</v>
      </c>
      <c r="F138" s="2">
        <v>0</v>
      </c>
      <c r="G138" s="2">
        <f t="shared" si="66"/>
        <v>1.9768083373380663</v>
      </c>
      <c r="I138" s="2">
        <f t="shared" si="78"/>
        <v>1.3979400086720377</v>
      </c>
      <c r="J138" s="2">
        <f t="shared" si="77"/>
        <v>1.7242758696007889</v>
      </c>
      <c r="K138" s="2">
        <f t="shared" si="68"/>
        <v>1.146128035678238</v>
      </c>
      <c r="N138" s="2">
        <v>1</v>
      </c>
      <c r="O138" s="12">
        <v>94.8</v>
      </c>
      <c r="P138" s="2">
        <v>2</v>
      </c>
      <c r="Q138" s="9" t="s">
        <v>305</v>
      </c>
      <c r="R138" s="9" t="s">
        <v>308</v>
      </c>
      <c r="S138" s="13"/>
      <c r="T138" s="8"/>
      <c r="U138" s="9"/>
      <c r="V138" s="2"/>
      <c r="W138" s="2"/>
      <c r="X138" s="2">
        <v>25</v>
      </c>
      <c r="Y138" s="2">
        <v>53</v>
      </c>
      <c r="Z138" s="9">
        <v>6</v>
      </c>
      <c r="AA138" s="2">
        <f t="shared" si="69"/>
        <v>59</v>
      </c>
      <c r="AB138" s="9"/>
      <c r="AC138" s="2">
        <v>2</v>
      </c>
      <c r="AD138" s="2">
        <f t="shared" si="70"/>
        <v>2</v>
      </c>
      <c r="AE138" s="9">
        <f t="shared" si="71"/>
        <v>61</v>
      </c>
      <c r="AF138" s="9"/>
      <c r="AG138" s="9">
        <v>14</v>
      </c>
      <c r="AH138" s="9">
        <v>13</v>
      </c>
      <c r="AI138" s="9">
        <v>1</v>
      </c>
      <c r="AJ138" s="2">
        <f t="shared" si="72"/>
        <v>14</v>
      </c>
      <c r="AK138" s="2">
        <v>0</v>
      </c>
      <c r="AL138" s="9">
        <f t="shared" si="73"/>
        <v>100</v>
      </c>
      <c r="AM138" s="9" t="s">
        <v>460</v>
      </c>
      <c r="AN138" s="2" t="s">
        <v>580</v>
      </c>
      <c r="AO138" s="9"/>
      <c r="AP138" s="9"/>
      <c r="AQ138" s="9"/>
      <c r="AR138" s="9"/>
      <c r="AS138" s="9"/>
      <c r="AV138" s="9"/>
      <c r="AW138" s="9"/>
      <c r="AX138" s="9"/>
      <c r="AY138" s="9"/>
      <c r="BA138" s="17"/>
      <c r="BB138" s="17"/>
      <c r="BC138" s="17"/>
      <c r="BD138" s="17"/>
      <c r="BE138" s="17"/>
      <c r="BF138" s="17"/>
      <c r="BG138" s="17"/>
    </row>
    <row r="139" spans="1:59">
      <c r="A139" s="2" t="s">
        <v>134</v>
      </c>
      <c r="B139" s="2" t="s">
        <v>134</v>
      </c>
      <c r="C139" s="2" t="s">
        <v>134</v>
      </c>
      <c r="D139" s="2" t="s">
        <v>278</v>
      </c>
      <c r="E139" s="2" t="s">
        <v>275</v>
      </c>
      <c r="F139" s="2">
        <v>0</v>
      </c>
      <c r="G139" s="2">
        <f t="shared" si="66"/>
        <v>1.9350031514536548</v>
      </c>
      <c r="H139" s="2">
        <f t="shared" si="76"/>
        <v>3.6563857190586879</v>
      </c>
      <c r="I139" s="2">
        <f t="shared" si="78"/>
        <v>0.70757017609793638</v>
      </c>
      <c r="J139" s="2">
        <f t="shared" si="77"/>
        <v>1.876025291494317</v>
      </c>
      <c r="K139" s="2">
        <f t="shared" si="68"/>
        <v>0.95101353930912635</v>
      </c>
      <c r="L139" s="2">
        <f>LOG(AS139)</f>
        <v>1.3617278360175928</v>
      </c>
      <c r="M139" s="2">
        <f>LOG(AX139)</f>
        <v>2.3979400086720375</v>
      </c>
      <c r="N139" s="2">
        <v>1</v>
      </c>
      <c r="O139" s="12">
        <v>86.1</v>
      </c>
      <c r="P139" s="2">
        <v>2</v>
      </c>
      <c r="Q139" s="9" t="s">
        <v>305</v>
      </c>
      <c r="R139" s="9" t="s">
        <v>308</v>
      </c>
      <c r="S139" s="13">
        <v>4533</v>
      </c>
      <c r="T139" s="8">
        <v>6</v>
      </c>
      <c r="U139" s="9" t="s">
        <v>305</v>
      </c>
      <c r="V139" s="2" t="s">
        <v>375</v>
      </c>
      <c r="W139" s="2" t="s">
        <v>324</v>
      </c>
      <c r="X139" s="2">
        <f>AVERAGE(0, 9.3,6)</f>
        <v>5.1000000000000005</v>
      </c>
      <c r="Y139" s="2">
        <f>AVERAGE(77,75.5,73)</f>
        <v>75.166666666666671</v>
      </c>
      <c r="Z139" s="9">
        <f>AVERAGE(5,0.5,14)</f>
        <v>6.5</v>
      </c>
      <c r="AA139" s="2">
        <f t="shared" si="69"/>
        <v>81.666666666666671</v>
      </c>
      <c r="AB139" s="9"/>
      <c r="AC139" s="2">
        <f>AVERAGE(3.5,5,2)</f>
        <v>3.5</v>
      </c>
      <c r="AD139" s="2">
        <f t="shared" si="70"/>
        <v>3.5</v>
      </c>
      <c r="AE139" s="9">
        <f t="shared" si="71"/>
        <v>85.166666666666671</v>
      </c>
      <c r="AF139" s="9"/>
      <c r="AG139" s="2">
        <v>8.9333333333333336</v>
      </c>
      <c r="AH139" s="9">
        <f>AVERAGE(6,8)</f>
        <v>7</v>
      </c>
      <c r="AI139" s="9">
        <f>AVERAGE(2,0.5)</f>
        <v>1.25</v>
      </c>
      <c r="AJ139" s="2">
        <f t="shared" si="72"/>
        <v>8.9333333333333336</v>
      </c>
      <c r="AK139" s="2">
        <f>0.75</f>
        <v>0.75</v>
      </c>
      <c r="AL139" s="9">
        <f t="shared" si="73"/>
        <v>99.95</v>
      </c>
      <c r="AM139" s="9" t="s">
        <v>458</v>
      </c>
      <c r="AN139" s="2" t="s">
        <v>581</v>
      </c>
      <c r="AO139" s="9"/>
      <c r="AP139" s="9"/>
      <c r="AQ139" s="9">
        <v>23</v>
      </c>
      <c r="AR139" s="9" t="s">
        <v>868</v>
      </c>
      <c r="AS139" s="9">
        <v>23</v>
      </c>
      <c r="AT139" s="2" t="s">
        <v>869</v>
      </c>
      <c r="AU139" s="2">
        <v>1835</v>
      </c>
      <c r="AV139" s="9"/>
      <c r="AW139" s="9"/>
      <c r="AX139" s="9">
        <v>250</v>
      </c>
      <c r="AY139" s="9" t="s">
        <v>1180</v>
      </c>
      <c r="AZ139" s="2" t="s">
        <v>1181</v>
      </c>
      <c r="BA139" s="17"/>
      <c r="BB139" s="17"/>
      <c r="BC139" s="17"/>
      <c r="BD139" s="17"/>
      <c r="BE139" s="17"/>
      <c r="BF139" s="17"/>
      <c r="BG139" s="17"/>
    </row>
    <row r="140" spans="1:59">
      <c r="A140" s="2" t="s">
        <v>135</v>
      </c>
      <c r="B140" s="2" t="s">
        <v>135</v>
      </c>
      <c r="C140" s="2" t="s">
        <v>135</v>
      </c>
      <c r="E140" s="2" t="s">
        <v>294</v>
      </c>
      <c r="F140" s="2">
        <v>1</v>
      </c>
      <c r="G140" s="2">
        <f t="shared" si="66"/>
        <v>1.3444229614341681</v>
      </c>
      <c r="H140" s="2">
        <f t="shared" si="76"/>
        <v>3.3400373930854284</v>
      </c>
      <c r="I140" s="2">
        <f t="shared" si="78"/>
        <v>-0.3010299956639812</v>
      </c>
      <c r="J140" s="2">
        <f t="shared" si="77"/>
        <v>1.7795964912578246</v>
      </c>
      <c r="K140" s="2">
        <f t="shared" si="68"/>
        <v>1.5006023505691855</v>
      </c>
      <c r="L140" s="2">
        <f>LOG(AS140)</f>
        <v>1.146128035678238</v>
      </c>
      <c r="M140" s="2">
        <f>LOG(AX140)</f>
        <v>1.2915168465279521</v>
      </c>
      <c r="N140" s="2">
        <v>1</v>
      </c>
      <c r="O140" s="12">
        <v>22.101561666666665</v>
      </c>
      <c r="P140" s="2">
        <v>30</v>
      </c>
      <c r="Q140" s="2" t="s">
        <v>316</v>
      </c>
      <c r="R140" s="9" t="s">
        <v>308</v>
      </c>
      <c r="S140" s="13">
        <v>2187.9499999999998</v>
      </c>
      <c r="T140" s="8">
        <v>110</v>
      </c>
      <c r="U140" s="9" t="s">
        <v>316</v>
      </c>
      <c r="V140" s="19" t="s">
        <v>376</v>
      </c>
      <c r="W140" s="2"/>
      <c r="X140" s="9">
        <v>0.5</v>
      </c>
      <c r="Y140" s="9">
        <f>AVERAGE(70,65,46.5)-0.3</f>
        <v>60.2</v>
      </c>
      <c r="Z140" s="9"/>
      <c r="AA140" s="2">
        <f t="shared" si="69"/>
        <v>60.2</v>
      </c>
      <c r="AB140" s="9"/>
      <c r="AC140" s="9">
        <f>AVERAGE(5,8,7)</f>
        <v>6.666666666666667</v>
      </c>
      <c r="AD140" s="2">
        <f t="shared" si="70"/>
        <v>6.666666666666667</v>
      </c>
      <c r="AE140" s="9">
        <f t="shared" si="71"/>
        <v>66.866666666666674</v>
      </c>
      <c r="AF140" s="9">
        <v>1</v>
      </c>
      <c r="AG140" s="9">
        <v>31.666666666666668</v>
      </c>
      <c r="AH140" s="9"/>
      <c r="AI140" s="9"/>
      <c r="AJ140" s="2">
        <f t="shared" si="72"/>
        <v>31.666666666666668</v>
      </c>
      <c r="AK140" s="9"/>
      <c r="AL140" s="9">
        <f t="shared" si="73"/>
        <v>100.03333333333335</v>
      </c>
      <c r="AM140" s="9" t="s">
        <v>458</v>
      </c>
      <c r="AN140" s="9" t="s">
        <v>582</v>
      </c>
      <c r="AQ140" s="9">
        <f>AVERAGE(16,11,16,13)</f>
        <v>14</v>
      </c>
      <c r="AR140" s="2" t="s">
        <v>870</v>
      </c>
      <c r="AS140" s="9">
        <v>14</v>
      </c>
      <c r="AT140" s="9" t="s">
        <v>871</v>
      </c>
      <c r="AU140" s="9">
        <v>1377</v>
      </c>
      <c r="AV140" s="9"/>
      <c r="AW140" s="9"/>
      <c r="AX140" s="2">
        <v>19.566666666666666</v>
      </c>
      <c r="AY140" s="9" t="s">
        <v>1182</v>
      </c>
      <c r="AZ140" s="9" t="s">
        <v>1183</v>
      </c>
      <c r="BA140" s="17"/>
      <c r="BB140" s="17"/>
      <c r="BC140" s="17"/>
      <c r="BD140" s="17"/>
      <c r="BE140" s="17"/>
      <c r="BF140" s="17"/>
      <c r="BG140" s="17"/>
    </row>
    <row r="141" spans="1:59">
      <c r="A141" s="2" t="s">
        <v>136</v>
      </c>
      <c r="B141" s="2" t="s">
        <v>136</v>
      </c>
      <c r="C141" s="2" t="s">
        <v>136</v>
      </c>
      <c r="E141" s="2" t="s">
        <v>281</v>
      </c>
      <c r="F141" s="2">
        <v>0</v>
      </c>
      <c r="I141" s="2">
        <f t="shared" si="78"/>
        <v>1.0128372247051722</v>
      </c>
      <c r="J141" s="2">
        <f t="shared" si="77"/>
        <v>1.8722728462242051</v>
      </c>
      <c r="M141" s="2">
        <f>LOG(AX141)</f>
        <v>2.4771212547196626</v>
      </c>
      <c r="N141" s="2">
        <v>1</v>
      </c>
      <c r="O141" s="9"/>
      <c r="P141" s="14"/>
      <c r="Q141" s="9"/>
      <c r="R141" s="9"/>
      <c r="S141" s="13"/>
      <c r="T141" s="8"/>
      <c r="U141" s="9"/>
      <c r="V141" s="2"/>
      <c r="W141" s="2"/>
      <c r="X141" s="9">
        <v>10.3</v>
      </c>
      <c r="Y141" s="9">
        <v>74.52</v>
      </c>
      <c r="Z141" s="9"/>
      <c r="AA141" s="2">
        <f t="shared" si="69"/>
        <v>74.52</v>
      </c>
      <c r="AB141" s="9">
        <v>0.5</v>
      </c>
      <c r="AC141" s="9">
        <v>0.5</v>
      </c>
      <c r="AD141" s="2">
        <v>1</v>
      </c>
      <c r="AE141" s="9">
        <f t="shared" si="71"/>
        <v>75.52</v>
      </c>
      <c r="AF141" s="9">
        <v>1.3</v>
      </c>
      <c r="AG141" s="9">
        <v>0</v>
      </c>
      <c r="AH141" s="9"/>
      <c r="AI141" s="9"/>
      <c r="AJ141" s="2">
        <f t="shared" si="72"/>
        <v>0</v>
      </c>
      <c r="AK141" s="9">
        <v>12.9</v>
      </c>
      <c r="AL141" s="9">
        <f t="shared" si="73"/>
        <v>100.02</v>
      </c>
      <c r="AM141" s="9" t="s">
        <v>460</v>
      </c>
      <c r="AN141" s="9" t="s">
        <v>583</v>
      </c>
      <c r="AQ141" s="9"/>
      <c r="AR141" s="2" t="s">
        <v>872</v>
      </c>
      <c r="AS141" s="9"/>
      <c r="AT141" s="9"/>
      <c r="AU141" s="9">
        <f>AVERAGE(1000,3400)</f>
        <v>2200</v>
      </c>
      <c r="AV141" s="9"/>
      <c r="AW141" s="9"/>
      <c r="AX141" s="2">
        <v>300</v>
      </c>
      <c r="AY141" s="9"/>
      <c r="AZ141" s="9" t="s">
        <v>1184</v>
      </c>
      <c r="BA141" s="17"/>
      <c r="BB141" s="17"/>
      <c r="BC141" s="17"/>
      <c r="BD141" s="17"/>
      <c r="BE141" s="17"/>
      <c r="BF141" s="17"/>
      <c r="BG141" s="17"/>
    </row>
    <row r="142" spans="1:59">
      <c r="A142" s="2" t="s">
        <v>137</v>
      </c>
      <c r="B142" s="2" t="s">
        <v>137</v>
      </c>
      <c r="C142" s="2" t="s">
        <v>137</v>
      </c>
      <c r="E142" s="2" t="s">
        <v>281</v>
      </c>
      <c r="F142" s="2">
        <v>0</v>
      </c>
      <c r="G142" s="2">
        <f>LOG(O142)</f>
        <v>1.0731965447546448</v>
      </c>
      <c r="H142" s="2">
        <f t="shared" si="76"/>
        <v>2.8162412999917832</v>
      </c>
      <c r="N142" s="2">
        <v>1</v>
      </c>
      <c r="O142" s="12">
        <v>11.835770753893947</v>
      </c>
      <c r="P142" s="2">
        <v>3</v>
      </c>
      <c r="Q142" s="2" t="s">
        <v>318</v>
      </c>
      <c r="R142" s="9" t="s">
        <v>308</v>
      </c>
      <c r="S142" s="13">
        <v>655</v>
      </c>
      <c r="T142" s="8">
        <v>2</v>
      </c>
      <c r="U142" s="9" t="s">
        <v>316</v>
      </c>
      <c r="V142" s="9" t="s">
        <v>312</v>
      </c>
      <c r="W142" s="9"/>
      <c r="X142" s="9"/>
      <c r="Y142" s="9"/>
      <c r="Z142" s="9"/>
      <c r="AB142" s="9"/>
      <c r="AC142" s="9"/>
      <c r="AE142" s="9"/>
      <c r="AF142" s="9"/>
      <c r="AG142" s="9"/>
      <c r="AH142" s="9"/>
      <c r="AI142" s="9"/>
      <c r="AK142" s="9"/>
      <c r="AL142" s="9"/>
      <c r="AM142" s="9" t="s">
        <v>460</v>
      </c>
      <c r="AN142" s="9" t="s">
        <v>584</v>
      </c>
      <c r="AQ142" s="9"/>
      <c r="AR142" s="2" t="s">
        <v>873</v>
      </c>
      <c r="AS142" s="9"/>
      <c r="AT142" s="9" t="s">
        <v>612</v>
      </c>
      <c r="AU142" s="9">
        <f>AVERAGE(1400,2175)</f>
        <v>1787.5</v>
      </c>
      <c r="AV142" s="9"/>
      <c r="AW142" s="9"/>
      <c r="AY142" s="9" t="s">
        <v>1185</v>
      </c>
      <c r="AZ142" s="9" t="s">
        <v>612</v>
      </c>
      <c r="BA142" s="17"/>
      <c r="BB142" s="17"/>
      <c r="BC142" s="17"/>
      <c r="BD142" s="17"/>
      <c r="BE142" s="17"/>
      <c r="BF142" s="17"/>
      <c r="BG142" s="17"/>
    </row>
    <row r="143" spans="1:59">
      <c r="A143" s="2" t="s">
        <v>138</v>
      </c>
      <c r="B143" s="2" t="s">
        <v>138</v>
      </c>
      <c r="C143" s="2" t="s">
        <v>138</v>
      </c>
      <c r="E143" s="2" t="s">
        <v>281</v>
      </c>
      <c r="F143" s="2">
        <v>0</v>
      </c>
      <c r="I143" s="2">
        <f>LOG(X143)</f>
        <v>0.96614173273903259</v>
      </c>
      <c r="J143" s="2">
        <f>LOG(Y143)</f>
        <v>1.8007170782823851</v>
      </c>
      <c r="L143" s="2">
        <f>LOG(AS143)</f>
        <v>0.65321251377534373</v>
      </c>
      <c r="M143" s="2">
        <f t="shared" ref="M143:M153" si="79">LOG(AX143)</f>
        <v>2.1398790864012365</v>
      </c>
      <c r="N143" s="2">
        <v>1</v>
      </c>
      <c r="O143" s="9"/>
      <c r="P143" s="14"/>
      <c r="Q143" s="9"/>
      <c r="R143" s="9"/>
      <c r="S143" s="13"/>
      <c r="T143" s="8"/>
      <c r="U143" s="9"/>
      <c r="V143" s="2"/>
      <c r="W143" s="2"/>
      <c r="X143" s="9">
        <f>AVERAGE(8.4,10.1)</f>
        <v>9.25</v>
      </c>
      <c r="Y143" s="9">
        <f>AVERAGE(53,73.4)</f>
        <v>63.2</v>
      </c>
      <c r="Z143" s="9">
        <v>0.2</v>
      </c>
      <c r="AA143" s="2">
        <f>Y143+Z143</f>
        <v>63.400000000000006</v>
      </c>
      <c r="AB143" s="9">
        <v>1.2</v>
      </c>
      <c r="AC143" s="9"/>
      <c r="AD143" s="2">
        <f>AB143+AC143</f>
        <v>1.2</v>
      </c>
      <c r="AE143" s="9">
        <f>AA143+AD143</f>
        <v>64.600000000000009</v>
      </c>
      <c r="AF143" s="9">
        <f>AVERAGE(21.9,15.2)</f>
        <v>18.549999999999997</v>
      </c>
      <c r="AG143" s="9">
        <v>0</v>
      </c>
      <c r="AH143" s="9"/>
      <c r="AI143" s="9"/>
      <c r="AJ143" s="2">
        <f>AG143</f>
        <v>0</v>
      </c>
      <c r="AK143" s="9">
        <v>7.6</v>
      </c>
      <c r="AL143" s="9">
        <f>SUM(X143+AA143+AD143+AF143+AG143+AK143)</f>
        <v>100</v>
      </c>
      <c r="AM143" s="9" t="s">
        <v>458</v>
      </c>
      <c r="AN143" s="9" t="s">
        <v>585</v>
      </c>
      <c r="AQ143" s="9">
        <v>4.5</v>
      </c>
      <c r="AR143" s="2" t="s">
        <v>872</v>
      </c>
      <c r="AS143" s="9">
        <v>4.5</v>
      </c>
      <c r="AT143" s="9" t="s">
        <v>612</v>
      </c>
      <c r="AU143" s="9">
        <f>AVERAGE(1362, 2088)</f>
        <v>1725</v>
      </c>
      <c r="AV143" s="9"/>
      <c r="AW143" s="9"/>
      <c r="AX143" s="2">
        <v>138</v>
      </c>
      <c r="AY143" s="9"/>
      <c r="AZ143" s="9" t="s">
        <v>612</v>
      </c>
      <c r="BA143" s="17"/>
      <c r="BB143" s="17"/>
      <c r="BC143" s="17"/>
      <c r="BD143" s="17"/>
      <c r="BE143" s="17"/>
      <c r="BF143" s="17"/>
      <c r="BG143" s="17"/>
    </row>
    <row r="144" spans="1:59">
      <c r="A144" s="2" t="s">
        <v>139</v>
      </c>
      <c r="B144" s="2" t="s">
        <v>139</v>
      </c>
      <c r="C144" s="2" t="s">
        <v>139</v>
      </c>
      <c r="E144" s="2" t="s">
        <v>281</v>
      </c>
      <c r="F144" s="2">
        <v>0</v>
      </c>
      <c r="G144" s="2">
        <f>LOG(O144)</f>
        <v>1.1005251514501935</v>
      </c>
      <c r="H144" s="2">
        <f t="shared" si="76"/>
        <v>2.7741518589547103</v>
      </c>
      <c r="I144" s="2">
        <f>LOG(X144)</f>
        <v>1.1818435879447726</v>
      </c>
      <c r="J144" s="2">
        <f>LOG(Y144)</f>
        <v>1.8998205024270962</v>
      </c>
      <c r="L144" s="2">
        <f>LOG(AS144)</f>
        <v>0.7323937598229685</v>
      </c>
      <c r="M144" s="2">
        <f t="shared" si="79"/>
        <v>1.6551384348113822</v>
      </c>
      <c r="N144" s="2">
        <v>1</v>
      </c>
      <c r="O144" s="12">
        <v>12.604486325889351</v>
      </c>
      <c r="P144" s="2">
        <v>20</v>
      </c>
      <c r="Q144" s="2" t="s">
        <v>316</v>
      </c>
      <c r="R144" s="9" t="s">
        <v>308</v>
      </c>
      <c r="S144" s="13">
        <v>594.5</v>
      </c>
      <c r="T144" s="8">
        <v>80</v>
      </c>
      <c r="U144" s="9" t="s">
        <v>316</v>
      </c>
      <c r="V144" s="2" t="s">
        <v>306</v>
      </c>
      <c r="W144" s="2" t="s">
        <v>377</v>
      </c>
      <c r="X144" s="9">
        <v>15.2</v>
      </c>
      <c r="Y144" s="9">
        <v>79.400000000000006</v>
      </c>
      <c r="Z144" s="9"/>
      <c r="AA144" s="9">
        <f>Y144+Z144</f>
        <v>79.400000000000006</v>
      </c>
      <c r="AB144" s="9"/>
      <c r="AC144" s="9">
        <v>0.4</v>
      </c>
      <c r="AD144" s="9">
        <f>AC144+AB144</f>
        <v>0.4</v>
      </c>
      <c r="AE144" s="9">
        <v>83.3</v>
      </c>
      <c r="AF144" s="9">
        <v>1.4</v>
      </c>
      <c r="AG144" s="9">
        <v>0</v>
      </c>
      <c r="AH144" s="9"/>
      <c r="AI144" s="9"/>
      <c r="AJ144" s="2">
        <f>AG144</f>
        <v>0</v>
      </c>
      <c r="AK144" s="9">
        <v>0.1</v>
      </c>
      <c r="AL144" s="9">
        <f>SUM(X144+AE144+AF144+AG144+AK144)</f>
        <v>100</v>
      </c>
      <c r="AM144" s="9" t="s">
        <v>460</v>
      </c>
      <c r="AN144" s="9" t="s">
        <v>586</v>
      </c>
      <c r="AO144" s="9"/>
      <c r="AP144" s="9"/>
      <c r="AQ144" s="9">
        <v>5.4</v>
      </c>
      <c r="AR144" s="9" t="s">
        <v>707</v>
      </c>
      <c r="AS144" s="9">
        <v>5.4</v>
      </c>
      <c r="AT144" s="9" t="s">
        <v>874</v>
      </c>
      <c r="AU144" s="9">
        <v>1339</v>
      </c>
      <c r="AV144" s="9"/>
      <c r="AW144" s="9"/>
      <c r="AX144" s="9">
        <v>45.2</v>
      </c>
      <c r="AY144" s="9" t="s">
        <v>1186</v>
      </c>
      <c r="AZ144" s="9" t="s">
        <v>1187</v>
      </c>
      <c r="BA144" s="17"/>
      <c r="BB144" s="17"/>
      <c r="BC144" s="17"/>
      <c r="BD144" s="17"/>
      <c r="BE144" s="17"/>
      <c r="BF144" s="17"/>
      <c r="BG144" s="17"/>
    </row>
    <row r="145" spans="1:59">
      <c r="A145" s="2" t="s">
        <v>140</v>
      </c>
      <c r="B145" s="2" t="s">
        <v>140</v>
      </c>
      <c r="C145" s="2" t="s">
        <v>140</v>
      </c>
      <c r="E145" s="2" t="s">
        <v>298</v>
      </c>
      <c r="F145" s="2">
        <v>0</v>
      </c>
      <c r="G145" s="2">
        <f>LOG(O145)</f>
        <v>0.86033800657099369</v>
      </c>
      <c r="J145" s="2">
        <f>LOG(Y145)</f>
        <v>0.51185909939500718</v>
      </c>
      <c r="K145" s="2">
        <f>LOG(AG145)</f>
        <v>1.8900610840496228</v>
      </c>
      <c r="M145" s="2">
        <f t="shared" si="79"/>
        <v>0</v>
      </c>
      <c r="N145" s="2">
        <v>0</v>
      </c>
      <c r="O145" s="12">
        <v>7.25</v>
      </c>
      <c r="P145" s="2">
        <v>2</v>
      </c>
      <c r="Q145" s="2" t="s">
        <v>318</v>
      </c>
      <c r="R145" s="9" t="s">
        <v>308</v>
      </c>
      <c r="S145" s="13"/>
      <c r="T145" s="8"/>
      <c r="U145" s="9"/>
      <c r="V145" s="2"/>
      <c r="W145" s="2"/>
      <c r="X145" s="9">
        <v>0</v>
      </c>
      <c r="Y145" s="2">
        <v>3.2498184458968775</v>
      </c>
      <c r="Z145" s="9"/>
      <c r="AA145" s="2">
        <f>Y145+Z145</f>
        <v>3.2498184458968775</v>
      </c>
      <c r="AB145" s="9"/>
      <c r="AC145" s="2">
        <v>8.8687179072616935</v>
      </c>
      <c r="AD145" s="2">
        <f>AB145+AC145</f>
        <v>8.8687179072616935</v>
      </c>
      <c r="AE145" s="9">
        <f>AA145+AD145</f>
        <v>12.118536353158571</v>
      </c>
      <c r="AF145" s="9"/>
      <c r="AG145" s="2">
        <v>77.63563044128</v>
      </c>
      <c r="AH145" s="2">
        <v>77.63563044128</v>
      </c>
      <c r="AI145" s="9"/>
      <c r="AJ145" s="2">
        <f>AG145</f>
        <v>77.63563044128</v>
      </c>
      <c r="AK145" s="9">
        <v>10.24583320556143</v>
      </c>
      <c r="AL145" s="9">
        <f>SUM(X145+AA145+AD145+AF145+AG145+AK145)</f>
        <v>100</v>
      </c>
      <c r="AM145" s="9" t="s">
        <v>460</v>
      </c>
      <c r="AN145" s="9" t="s">
        <v>587</v>
      </c>
      <c r="AO145" s="9"/>
      <c r="AP145" s="9" t="s">
        <v>875</v>
      </c>
      <c r="AQ145" s="9">
        <v>1</v>
      </c>
      <c r="AR145" s="9"/>
      <c r="AS145" s="9"/>
      <c r="AT145" s="9" t="s">
        <v>612</v>
      </c>
      <c r="AU145" s="9"/>
      <c r="AV145" s="9"/>
      <c r="AW145" s="9"/>
      <c r="AX145" s="9">
        <v>1</v>
      </c>
      <c r="AY145" s="9"/>
      <c r="AZ145" s="9" t="s">
        <v>612</v>
      </c>
      <c r="BA145" s="17"/>
      <c r="BB145" s="17"/>
      <c r="BC145" s="17"/>
      <c r="BD145" s="17"/>
      <c r="BE145" s="17"/>
      <c r="BF145" s="17"/>
      <c r="BG145" s="17"/>
    </row>
    <row r="146" spans="1:59">
      <c r="A146" s="2" t="s">
        <v>141</v>
      </c>
      <c r="B146" s="2" t="s">
        <v>141</v>
      </c>
      <c r="C146" s="2" t="s">
        <v>141</v>
      </c>
      <c r="E146" s="2" t="s">
        <v>298</v>
      </c>
      <c r="F146" s="2">
        <v>0</v>
      </c>
      <c r="G146" s="2">
        <f>LOG(O146)</f>
        <v>0.82677537445292049</v>
      </c>
      <c r="H146" s="2">
        <f t="shared" si="76"/>
        <v>2.7821141474790712</v>
      </c>
      <c r="J146" s="2">
        <f>LOG(Y146)</f>
        <v>0</v>
      </c>
      <c r="K146" s="2">
        <f>LOG(AG146)</f>
        <v>1.954242509439325</v>
      </c>
      <c r="L146" s="2">
        <f t="shared" ref="L146:L164" si="80">LOG(AS146)</f>
        <v>0.3010299956639812</v>
      </c>
      <c r="M146" s="2">
        <f t="shared" si="79"/>
        <v>-0.61978875828839397</v>
      </c>
      <c r="N146" s="2">
        <v>0</v>
      </c>
      <c r="O146" s="12">
        <v>6.7108166666666671</v>
      </c>
      <c r="P146" s="2">
        <v>21</v>
      </c>
      <c r="Q146" s="2" t="s">
        <v>316</v>
      </c>
      <c r="R146" s="9" t="s">
        <v>308</v>
      </c>
      <c r="S146" s="13">
        <v>605.5</v>
      </c>
      <c r="T146" s="8">
        <v>7</v>
      </c>
      <c r="U146" s="9" t="s">
        <v>316</v>
      </c>
      <c r="V146" s="2" t="s">
        <v>306</v>
      </c>
      <c r="W146" s="18" t="s">
        <v>378</v>
      </c>
      <c r="X146" s="2">
        <v>0</v>
      </c>
      <c r="Y146" s="2">
        <v>1</v>
      </c>
      <c r="Z146" s="2">
        <v>0</v>
      </c>
      <c r="AA146" s="2">
        <f>Y146+Z146</f>
        <v>1</v>
      </c>
      <c r="AC146" s="2">
        <v>1</v>
      </c>
      <c r="AD146" s="2">
        <f>AB146+AC146</f>
        <v>1</v>
      </c>
      <c r="AG146" s="2">
        <v>90</v>
      </c>
      <c r="AJ146" s="2">
        <f>AG146</f>
        <v>90</v>
      </c>
      <c r="AK146" s="2">
        <v>8</v>
      </c>
      <c r="AL146" s="9">
        <f>SUM(X146+AA146+AD146+AF146+AG146+AK146)</f>
        <v>100</v>
      </c>
      <c r="AM146" s="9" t="s">
        <v>460</v>
      </c>
      <c r="AN146" s="2" t="s">
        <v>588</v>
      </c>
      <c r="AO146" s="2">
        <v>2</v>
      </c>
      <c r="AP146" s="2" t="s">
        <v>876</v>
      </c>
      <c r="AQ146" s="9">
        <v>1</v>
      </c>
      <c r="AS146" s="2">
        <v>2</v>
      </c>
      <c r="AT146" s="9" t="s">
        <v>795</v>
      </c>
      <c r="AU146" s="9"/>
      <c r="AX146" s="2">
        <v>0.24</v>
      </c>
      <c r="AY146" s="2" t="s">
        <v>1188</v>
      </c>
      <c r="AZ146" s="9" t="s">
        <v>795</v>
      </c>
      <c r="BA146" s="16"/>
      <c r="BB146" s="16"/>
      <c r="BC146" s="16"/>
      <c r="BD146" s="16"/>
      <c r="BE146" s="16"/>
      <c r="BF146" s="16"/>
      <c r="BG146" s="16"/>
    </row>
    <row r="147" spans="1:59">
      <c r="A147" s="2" t="s">
        <v>142</v>
      </c>
      <c r="B147" s="2" t="s">
        <v>142</v>
      </c>
      <c r="C147" s="2" t="s">
        <v>142</v>
      </c>
      <c r="E147" s="2" t="s">
        <v>298</v>
      </c>
      <c r="F147" s="2">
        <v>0</v>
      </c>
      <c r="G147" s="2">
        <f>LOG(O147)</f>
        <v>0.89797054285591205</v>
      </c>
      <c r="H147" s="2">
        <f t="shared" si="76"/>
        <v>2.9052560487484511</v>
      </c>
      <c r="J147" s="2">
        <f>LOG(Y147)</f>
        <v>0.51185909939500718</v>
      </c>
      <c r="K147" s="2">
        <f>LOG(AG147)</f>
        <v>1.8900610840496228</v>
      </c>
      <c r="L147" s="2">
        <f t="shared" si="80"/>
        <v>0</v>
      </c>
      <c r="M147" s="2">
        <f t="shared" si="79"/>
        <v>0.17609125905568124</v>
      </c>
      <c r="N147" s="2">
        <v>0</v>
      </c>
      <c r="O147" s="12">
        <v>7.9062500000000009</v>
      </c>
      <c r="P147" s="2">
        <v>16</v>
      </c>
      <c r="Q147" s="2" t="s">
        <v>316</v>
      </c>
      <c r="R147" s="9" t="s">
        <v>308</v>
      </c>
      <c r="S147" s="13">
        <v>804</v>
      </c>
      <c r="T147" s="8">
        <v>45</v>
      </c>
      <c r="U147" s="9" t="s">
        <v>316</v>
      </c>
      <c r="V147" s="2" t="s">
        <v>379</v>
      </c>
      <c r="W147" s="2"/>
      <c r="X147" s="9">
        <v>0</v>
      </c>
      <c r="Y147" s="2">
        <v>3.2498184458968775</v>
      </c>
      <c r="Z147" s="9"/>
      <c r="AA147" s="2">
        <f>Y147+Z147</f>
        <v>3.2498184458968775</v>
      </c>
      <c r="AB147" s="9"/>
      <c r="AC147" s="2">
        <v>8.8687179072616935</v>
      </c>
      <c r="AD147" s="2">
        <f>AB147+AC147</f>
        <v>8.8687179072616935</v>
      </c>
      <c r="AE147" s="9">
        <f>AA147+AD147</f>
        <v>12.118536353158571</v>
      </c>
      <c r="AF147" s="9"/>
      <c r="AG147" s="2">
        <v>77.63563044128</v>
      </c>
      <c r="AH147" s="9"/>
      <c r="AI147" s="9"/>
      <c r="AJ147" s="2">
        <f>AG147</f>
        <v>77.63563044128</v>
      </c>
      <c r="AK147" s="9">
        <v>10.24583320556143</v>
      </c>
      <c r="AL147" s="9">
        <f>SUM(X147+AA147+AD147+AF147+AG147+AK147)</f>
        <v>100</v>
      </c>
      <c r="AM147" s="9" t="s">
        <v>460</v>
      </c>
      <c r="AN147" s="9" t="s">
        <v>587</v>
      </c>
      <c r="AO147" s="2">
        <v>1</v>
      </c>
      <c r="AQ147" s="9">
        <v>1</v>
      </c>
      <c r="AR147" s="9"/>
      <c r="AS147" s="2">
        <v>1</v>
      </c>
      <c r="AT147" s="9" t="s">
        <v>795</v>
      </c>
      <c r="AU147" s="9"/>
      <c r="AV147" s="9">
        <v>0.33</v>
      </c>
      <c r="AW147" s="9">
        <v>2.0499999999999998</v>
      </c>
      <c r="AX147" s="9">
        <v>1.5</v>
      </c>
      <c r="AY147" s="9"/>
      <c r="AZ147" s="9" t="s">
        <v>795</v>
      </c>
      <c r="BA147" s="17"/>
      <c r="BB147" s="17"/>
      <c r="BC147" s="17"/>
      <c r="BD147" s="17"/>
      <c r="BE147" s="17"/>
      <c r="BF147" s="17"/>
      <c r="BG147" s="17"/>
    </row>
    <row r="148" spans="1:59">
      <c r="A148" s="2" t="s">
        <v>143</v>
      </c>
      <c r="B148" s="2" t="s">
        <v>143</v>
      </c>
      <c r="C148" s="2" t="s">
        <v>143</v>
      </c>
      <c r="E148" s="2" t="s">
        <v>298</v>
      </c>
      <c r="F148" s="2">
        <v>0</v>
      </c>
      <c r="G148" s="2">
        <f>LOG(O148)</f>
        <v>0.8792870723193188</v>
      </c>
      <c r="H148" s="2">
        <f t="shared" si="76"/>
        <v>2.8923729073984363</v>
      </c>
      <c r="L148" s="2">
        <f t="shared" si="80"/>
        <v>0.17609125905568124</v>
      </c>
      <c r="M148" s="2">
        <f t="shared" si="79"/>
        <v>-9.6910013008056392E-2</v>
      </c>
      <c r="N148" s="2">
        <v>0</v>
      </c>
      <c r="O148" s="12">
        <v>7.5733333333333333</v>
      </c>
      <c r="P148" s="2">
        <v>15</v>
      </c>
      <c r="Q148" s="2" t="s">
        <v>316</v>
      </c>
      <c r="R148" s="9" t="s">
        <v>308</v>
      </c>
      <c r="S148" s="13">
        <v>780.5</v>
      </c>
      <c r="T148" s="8">
        <v>34</v>
      </c>
      <c r="U148" s="9" t="s">
        <v>316</v>
      </c>
      <c r="V148" s="2" t="s">
        <v>380</v>
      </c>
      <c r="W148" s="2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2">
        <v>1.5</v>
      </c>
      <c r="AP148" s="2" t="s">
        <v>877</v>
      </c>
      <c r="AQ148" s="9"/>
      <c r="AR148" s="9"/>
      <c r="AS148" s="9">
        <v>1.5</v>
      </c>
      <c r="AT148" s="9" t="s">
        <v>795</v>
      </c>
      <c r="AU148" s="9">
        <v>550</v>
      </c>
      <c r="AV148" s="9"/>
      <c r="AW148" s="9"/>
      <c r="AX148" s="9">
        <v>0.8</v>
      </c>
      <c r="AY148" s="9" t="s">
        <v>1189</v>
      </c>
      <c r="AZ148" s="9" t="s">
        <v>855</v>
      </c>
      <c r="BA148" s="17"/>
      <c r="BB148" s="17"/>
      <c r="BC148" s="17"/>
      <c r="BD148" s="17"/>
      <c r="BE148" s="17"/>
      <c r="BF148" s="17"/>
      <c r="BG148" s="17"/>
    </row>
    <row r="149" spans="1:59">
      <c r="A149" s="2" t="s">
        <v>1374</v>
      </c>
      <c r="E149" s="2" t="s">
        <v>298</v>
      </c>
      <c r="F149" s="2">
        <v>0</v>
      </c>
      <c r="L149" s="2">
        <f t="shared" si="80"/>
        <v>0.17609125905568124</v>
      </c>
      <c r="M149" s="2">
        <f t="shared" si="79"/>
        <v>0</v>
      </c>
      <c r="N149" s="2">
        <v>0</v>
      </c>
      <c r="Q149" s="2"/>
      <c r="R149" s="9"/>
      <c r="S149" s="13"/>
      <c r="T149" s="8"/>
      <c r="U149" s="9"/>
      <c r="V149" s="2"/>
      <c r="W149" s="2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2">
        <v>1.5</v>
      </c>
      <c r="AP149" s="2" t="s">
        <v>878</v>
      </c>
      <c r="AQ149" s="9"/>
      <c r="AR149" s="9"/>
      <c r="AS149" s="9">
        <v>1.5</v>
      </c>
      <c r="AT149" s="9" t="s">
        <v>612</v>
      </c>
      <c r="AU149" s="9"/>
      <c r="AV149" s="9"/>
      <c r="AW149" s="9"/>
      <c r="AX149" s="9">
        <v>1</v>
      </c>
      <c r="AY149" s="9" t="s">
        <v>1190</v>
      </c>
      <c r="AZ149" s="9" t="s">
        <v>612</v>
      </c>
      <c r="BA149" s="17"/>
      <c r="BB149" s="17"/>
      <c r="BC149" s="17"/>
      <c r="BD149" s="17"/>
      <c r="BE149" s="17"/>
      <c r="BF149" s="17"/>
      <c r="BG149" s="17"/>
    </row>
    <row r="150" spans="1:59">
      <c r="A150" s="2" t="s">
        <v>144</v>
      </c>
      <c r="C150" s="2" t="s">
        <v>144</v>
      </c>
      <c r="D150" s="2" t="s">
        <v>271</v>
      </c>
      <c r="E150" s="2" t="s">
        <v>272</v>
      </c>
      <c r="F150" s="2">
        <v>0</v>
      </c>
      <c r="G150" s="2">
        <f t="shared" ref="G150:G164" si="81">LOG(O150)</f>
        <v>1.9573327171494692</v>
      </c>
      <c r="H150" s="2">
        <f t="shared" si="76"/>
        <v>3.7788744720027396</v>
      </c>
      <c r="I150" s="2">
        <f t="shared" ref="I150:J152" si="82">LOG(X150)</f>
        <v>1.3117538610557542</v>
      </c>
      <c r="J150" s="2">
        <f t="shared" si="82"/>
        <v>1.6127838567197355</v>
      </c>
      <c r="K150" s="2">
        <f>LOG(AG150)</f>
        <v>0.7269987279362623</v>
      </c>
      <c r="L150" s="2">
        <f t="shared" si="80"/>
        <v>1.1899312421881112</v>
      </c>
      <c r="M150" s="2">
        <f t="shared" si="79"/>
        <v>2.3521825181113627</v>
      </c>
      <c r="N150" s="2">
        <v>1</v>
      </c>
      <c r="O150" s="12">
        <v>90.642675715810057</v>
      </c>
      <c r="P150" s="2">
        <v>32</v>
      </c>
      <c r="Q150" s="9" t="s">
        <v>305</v>
      </c>
      <c r="R150" s="9" t="s">
        <v>308</v>
      </c>
      <c r="S150" s="13">
        <v>6010</v>
      </c>
      <c r="T150" s="8">
        <v>19</v>
      </c>
      <c r="U150" s="9" t="s">
        <v>305</v>
      </c>
      <c r="V150" s="2" t="s">
        <v>306</v>
      </c>
      <c r="W150" s="2" t="s">
        <v>381</v>
      </c>
      <c r="X150" s="9">
        <f>AVERAGE(28,13)</f>
        <v>20.5</v>
      </c>
      <c r="Y150" s="9">
        <f>AVERAGE(31,59,33)</f>
        <v>41</v>
      </c>
      <c r="Z150" s="9">
        <f>AVERAGE(35,29)-1.3</f>
        <v>30.7</v>
      </c>
      <c r="AA150" s="2">
        <f>Y150+Z150</f>
        <v>71.7</v>
      </c>
      <c r="AB150" s="9"/>
      <c r="AC150" s="9">
        <f>AVERAGE(2,1,4.5)</f>
        <v>2.5</v>
      </c>
      <c r="AD150" s="2">
        <f>AB150+AC150</f>
        <v>2.5</v>
      </c>
      <c r="AE150" s="9">
        <f>AA150+AD150</f>
        <v>74.2</v>
      </c>
      <c r="AF150" s="9"/>
      <c r="AG150" s="9">
        <v>5.333333333333333</v>
      </c>
      <c r="AH150" s="9">
        <f>AVERAGE(5,5,2)</f>
        <v>4</v>
      </c>
      <c r="AI150" s="9">
        <v>0</v>
      </c>
      <c r="AJ150" s="2">
        <f>AG150</f>
        <v>5.333333333333333</v>
      </c>
      <c r="AK150" s="9">
        <v>0</v>
      </c>
      <c r="AL150" s="9">
        <f>SUM(X150+AA150+AD150+AF150+AG150+AK150)</f>
        <v>100.03333333333333</v>
      </c>
      <c r="AM150" s="9" t="s">
        <v>489</v>
      </c>
      <c r="AN150" s="9" t="s">
        <v>589</v>
      </c>
      <c r="AO150" s="9"/>
      <c r="AP150" s="9"/>
      <c r="AQ150" s="9">
        <f>AVERAGE(20.5,18,16,6,15,14,18.9)</f>
        <v>15.485714285714286</v>
      </c>
      <c r="AR150" s="9" t="s">
        <v>879</v>
      </c>
      <c r="AS150" s="9">
        <v>15.485714285714286</v>
      </c>
      <c r="AT150" s="9" t="s">
        <v>880</v>
      </c>
      <c r="AU150" s="9">
        <f>AVERAGE(1299,1008,1137,1127)</f>
        <v>1142.75</v>
      </c>
      <c r="AV150" s="9"/>
      <c r="AW150" s="9"/>
      <c r="AX150" s="9">
        <v>225</v>
      </c>
      <c r="AY150" s="9" t="s">
        <v>1191</v>
      </c>
      <c r="AZ150" s="9" t="s">
        <v>1192</v>
      </c>
      <c r="BA150" s="17"/>
      <c r="BB150" s="17"/>
      <c r="BC150" s="17"/>
      <c r="BD150" s="17"/>
      <c r="BE150" s="17"/>
      <c r="BF150" s="17"/>
      <c r="BG150" s="17"/>
    </row>
    <row r="151" spans="1:59">
      <c r="A151" s="2" t="s">
        <v>145</v>
      </c>
      <c r="B151" s="2" t="s">
        <v>145</v>
      </c>
      <c r="C151" s="2" t="s">
        <v>145</v>
      </c>
      <c r="D151" s="2" t="s">
        <v>271</v>
      </c>
      <c r="E151" s="2" t="s">
        <v>272</v>
      </c>
      <c r="F151" s="2">
        <v>0</v>
      </c>
      <c r="G151" s="2">
        <f t="shared" si="81"/>
        <v>1.9425074575600556</v>
      </c>
      <c r="H151" s="2">
        <f t="shared" si="76"/>
        <v>3.7604224834232118</v>
      </c>
      <c r="I151" s="2">
        <f t="shared" si="82"/>
        <v>0.20411998265592479</v>
      </c>
      <c r="J151" s="2">
        <f t="shared" si="82"/>
        <v>1.666049738480516</v>
      </c>
      <c r="K151" s="2">
        <f>LOG(AG151)</f>
        <v>1.2041199826559248</v>
      </c>
      <c r="L151" s="2">
        <f t="shared" si="80"/>
        <v>1.1522883443830565</v>
      </c>
      <c r="M151" s="2">
        <f t="shared" si="79"/>
        <v>1.7708520116421442</v>
      </c>
      <c r="N151" s="2">
        <v>1</v>
      </c>
      <c r="O151" s="12">
        <v>87.600675999999993</v>
      </c>
      <c r="P151" s="2">
        <v>5</v>
      </c>
      <c r="Q151" s="9" t="s">
        <v>305</v>
      </c>
      <c r="R151" s="9" t="s">
        <v>308</v>
      </c>
      <c r="S151" s="13">
        <v>5760</v>
      </c>
      <c r="T151" s="8">
        <v>6</v>
      </c>
      <c r="U151" s="9" t="s">
        <v>305</v>
      </c>
      <c r="V151" s="2" t="s">
        <v>306</v>
      </c>
      <c r="W151" s="2" t="s">
        <v>382</v>
      </c>
      <c r="X151" s="2">
        <v>1.6</v>
      </c>
      <c r="Y151" s="2">
        <f>AVERAGE(56.7,36)</f>
        <v>46.35</v>
      </c>
      <c r="Z151" s="2">
        <f>AVERAGE(30,30.5)-5.1</f>
        <v>25.15</v>
      </c>
      <c r="AA151" s="2">
        <f>Y151+Z151</f>
        <v>71.5</v>
      </c>
      <c r="AC151" s="2">
        <f>AVERAGE(17.5,4.2)</f>
        <v>10.85</v>
      </c>
      <c r="AD151" s="2">
        <f>AC151+AB151</f>
        <v>10.85</v>
      </c>
      <c r="AG151" s="2">
        <v>16</v>
      </c>
      <c r="AH151" s="2">
        <v>3.3</v>
      </c>
      <c r="AI151" s="2">
        <v>0</v>
      </c>
      <c r="AJ151" s="2">
        <f>AG151</f>
        <v>16</v>
      </c>
      <c r="AK151" s="2">
        <v>0</v>
      </c>
      <c r="AL151" s="9">
        <f>SUM(X151+AA151+AD151+AF151+AG151+AK151)</f>
        <v>99.949999999999989</v>
      </c>
      <c r="AM151" s="2" t="s">
        <v>489</v>
      </c>
      <c r="AN151" s="2" t="s">
        <v>590</v>
      </c>
      <c r="AQ151" s="2">
        <f>AVERAGE(17.5,10.9)</f>
        <v>14.2</v>
      </c>
      <c r="AR151" s="22" t="s">
        <v>881</v>
      </c>
      <c r="AS151" s="2">
        <v>14.2</v>
      </c>
      <c r="AT151" s="2" t="s">
        <v>882</v>
      </c>
      <c r="AX151" s="2">
        <v>59</v>
      </c>
      <c r="AY151" s="9" t="s">
        <v>1193</v>
      </c>
      <c r="AZ151" s="2" t="s">
        <v>1194</v>
      </c>
      <c r="BA151" s="16"/>
      <c r="BB151" s="16"/>
      <c r="BC151" s="16"/>
      <c r="BD151" s="16"/>
      <c r="BE151" s="16"/>
      <c r="BF151" s="16"/>
      <c r="BG151" s="16"/>
    </row>
    <row r="152" spans="1:59">
      <c r="A152" s="2" t="s">
        <v>146</v>
      </c>
      <c r="B152" s="2" t="s">
        <v>146</v>
      </c>
      <c r="C152" s="2" t="s">
        <v>146</v>
      </c>
      <c r="E152" s="2" t="s">
        <v>277</v>
      </c>
      <c r="F152" s="2">
        <v>0</v>
      </c>
      <c r="G152" s="2">
        <f t="shared" si="81"/>
        <v>0.80380163073514921</v>
      </c>
      <c r="H152" s="2">
        <f t="shared" si="76"/>
        <v>2.436162647040756</v>
      </c>
      <c r="I152" s="2">
        <f t="shared" si="82"/>
        <v>1.9506082247842309</v>
      </c>
      <c r="J152" s="2">
        <f t="shared" si="82"/>
        <v>7.9181246047624818E-2</v>
      </c>
      <c r="K152" s="2">
        <f>LOG(AG152)</f>
        <v>0.82607480270082645</v>
      </c>
      <c r="L152" s="2">
        <f t="shared" si="80"/>
        <v>0.3010299956639812</v>
      </c>
      <c r="M152" s="2">
        <f t="shared" si="79"/>
        <v>0.3979400086720376</v>
      </c>
      <c r="N152" s="2">
        <v>0</v>
      </c>
      <c r="O152" s="12">
        <v>6.3650472325850602</v>
      </c>
      <c r="P152" s="2">
        <v>12</v>
      </c>
      <c r="Q152" s="2" t="s">
        <v>316</v>
      </c>
      <c r="R152" s="9" t="s">
        <v>308</v>
      </c>
      <c r="S152" s="13">
        <v>273</v>
      </c>
      <c r="T152" s="8">
        <v>10</v>
      </c>
      <c r="U152" s="9" t="s">
        <v>316</v>
      </c>
      <c r="V152" s="2" t="s">
        <v>363</v>
      </c>
      <c r="W152" s="2"/>
      <c r="X152" s="2">
        <f>AVERAGE(96, 82.5)</f>
        <v>89.25</v>
      </c>
      <c r="Y152" s="2">
        <v>1.2</v>
      </c>
      <c r="AA152" s="2">
        <f>Y152+Z152</f>
        <v>1.2</v>
      </c>
      <c r="AB152" s="2">
        <v>0</v>
      </c>
      <c r="AC152" s="2">
        <v>0</v>
      </c>
      <c r="AD152" s="2">
        <f>AB152+AC152</f>
        <v>0</v>
      </c>
      <c r="AE152" s="9">
        <f>AA152+AD152</f>
        <v>1.2</v>
      </c>
      <c r="AF152" s="2">
        <v>2.8</v>
      </c>
      <c r="AG152" s="2">
        <v>6.7</v>
      </c>
      <c r="AH152" s="2">
        <v>0</v>
      </c>
      <c r="AI152" s="2">
        <v>0</v>
      </c>
      <c r="AJ152" s="2">
        <f>AG152</f>
        <v>6.7</v>
      </c>
      <c r="AK152" s="2">
        <v>0</v>
      </c>
      <c r="AL152" s="9">
        <f>SUM(X152+AA152+AD152+AF152+AG152+AK152)</f>
        <v>99.95</v>
      </c>
      <c r="AM152" s="9" t="s">
        <v>489</v>
      </c>
      <c r="AN152" s="2" t="s">
        <v>591</v>
      </c>
      <c r="AO152" s="2">
        <v>2</v>
      </c>
      <c r="AP152" s="2" t="s">
        <v>883</v>
      </c>
      <c r="AQ152" s="2">
        <v>1.5</v>
      </c>
      <c r="AR152" s="2" t="s">
        <v>884</v>
      </c>
      <c r="AS152" s="2">
        <v>2</v>
      </c>
      <c r="AT152" s="2" t="s">
        <v>885</v>
      </c>
      <c r="AV152" s="2">
        <v>3.6</v>
      </c>
      <c r="AW152" s="2">
        <v>1.59</v>
      </c>
      <c r="AX152" s="2">
        <v>2.5</v>
      </c>
      <c r="AZ152" s="2" t="s">
        <v>720</v>
      </c>
      <c r="BA152" s="16"/>
      <c r="BB152" s="16"/>
      <c r="BC152" s="16"/>
      <c r="BD152" s="16"/>
      <c r="BE152" s="16"/>
      <c r="BF152" s="17"/>
      <c r="BG152" s="16"/>
    </row>
    <row r="153" spans="1:59">
      <c r="A153" s="2" t="s">
        <v>147</v>
      </c>
      <c r="B153" s="2" t="s">
        <v>147</v>
      </c>
      <c r="C153" s="2" t="s">
        <v>147</v>
      </c>
      <c r="E153" s="2" t="s">
        <v>277</v>
      </c>
      <c r="F153" s="2">
        <v>0</v>
      </c>
      <c r="G153" s="2">
        <f t="shared" si="81"/>
        <v>0.73108020602152546</v>
      </c>
      <c r="H153" s="2">
        <f t="shared" si="76"/>
        <v>2.2844307338445193</v>
      </c>
      <c r="I153" s="2">
        <f>LOG(X153)</f>
        <v>2</v>
      </c>
      <c r="L153" s="2">
        <f t="shared" si="80"/>
        <v>0.3979400086720376</v>
      </c>
      <c r="M153" s="2">
        <f t="shared" si="79"/>
        <v>0.76900787094377387</v>
      </c>
      <c r="N153" s="2">
        <v>0</v>
      </c>
      <c r="O153" s="12">
        <v>5.3836920000000008</v>
      </c>
      <c r="P153" s="2">
        <v>15</v>
      </c>
      <c r="Q153" s="2" t="s">
        <v>316</v>
      </c>
      <c r="R153" s="9" t="s">
        <v>308</v>
      </c>
      <c r="S153" s="13">
        <v>192.5</v>
      </c>
      <c r="T153" s="8">
        <v>18</v>
      </c>
      <c r="U153" s="9" t="s">
        <v>316</v>
      </c>
      <c r="V153" s="2" t="s">
        <v>306</v>
      </c>
      <c r="W153" s="2"/>
      <c r="X153" s="9">
        <v>100</v>
      </c>
      <c r="Y153" s="9">
        <v>0</v>
      </c>
      <c r="Z153" s="9"/>
      <c r="AA153" s="2">
        <f>Y153+Z153</f>
        <v>0</v>
      </c>
      <c r="AB153" s="9">
        <v>0</v>
      </c>
      <c r="AC153" s="9">
        <v>0</v>
      </c>
      <c r="AD153" s="2">
        <f>AB153+AC153</f>
        <v>0</v>
      </c>
      <c r="AE153" s="9">
        <f>AA153+AD153</f>
        <v>0</v>
      </c>
      <c r="AF153" s="9">
        <v>0</v>
      </c>
      <c r="AG153" s="9">
        <v>0</v>
      </c>
      <c r="AH153" s="9">
        <v>0</v>
      </c>
      <c r="AI153" s="9">
        <v>0</v>
      </c>
      <c r="AJ153" s="2">
        <f>AG153</f>
        <v>0</v>
      </c>
      <c r="AK153" s="9">
        <v>0</v>
      </c>
      <c r="AL153" s="9">
        <f>SUM(X153+AA153+AD153+AF153+AG153+AK153)</f>
        <v>100</v>
      </c>
      <c r="AM153" s="9" t="s">
        <v>460</v>
      </c>
      <c r="AN153" s="9" t="s">
        <v>592</v>
      </c>
      <c r="AO153" s="9">
        <v>2.5</v>
      </c>
      <c r="AP153" s="2" t="s">
        <v>887</v>
      </c>
      <c r="AQ153" s="9"/>
      <c r="AR153" s="9"/>
      <c r="AS153" s="9">
        <v>2.5</v>
      </c>
      <c r="AT153" s="2" t="s">
        <v>720</v>
      </c>
      <c r="AV153" s="9">
        <v>5</v>
      </c>
      <c r="AW153" s="9">
        <f>AVERAGE(1.5,12)</f>
        <v>6.75</v>
      </c>
      <c r="AX153" s="9">
        <v>5.875</v>
      </c>
      <c r="AY153" s="9" t="s">
        <v>1195</v>
      </c>
      <c r="AZ153" s="9" t="s">
        <v>1196</v>
      </c>
      <c r="BA153" s="17"/>
      <c r="BB153" s="16"/>
      <c r="BC153" s="16"/>
      <c r="BD153" s="16"/>
      <c r="BE153" s="16"/>
      <c r="BF153" s="17"/>
      <c r="BG153" s="16"/>
    </row>
    <row r="154" spans="1:59">
      <c r="A154" s="2" t="s">
        <v>148</v>
      </c>
      <c r="B154" s="2" t="s">
        <v>148</v>
      </c>
      <c r="C154" s="2" t="s">
        <v>148</v>
      </c>
      <c r="D154" s="2" t="s">
        <v>271</v>
      </c>
      <c r="E154" s="2" t="s">
        <v>272</v>
      </c>
      <c r="F154" s="2">
        <v>1</v>
      </c>
      <c r="G154" s="2">
        <f t="shared" si="81"/>
        <v>1.9978639029662399</v>
      </c>
      <c r="H154" s="2">
        <f t="shared" si="76"/>
        <v>3.9242792860618816</v>
      </c>
      <c r="L154" s="2">
        <f t="shared" si="80"/>
        <v>1.3521825181113625</v>
      </c>
      <c r="N154" s="2">
        <v>1</v>
      </c>
      <c r="O154" s="12">
        <v>99.509353104897059</v>
      </c>
      <c r="P154" s="2">
        <v>4</v>
      </c>
      <c r="Q154" s="9" t="s">
        <v>305</v>
      </c>
      <c r="R154" s="9" t="s">
        <v>306</v>
      </c>
      <c r="S154" s="13">
        <v>8400</v>
      </c>
      <c r="T154" s="8">
        <v>3</v>
      </c>
      <c r="U154" s="9" t="s">
        <v>305</v>
      </c>
      <c r="V154" s="2" t="s">
        <v>306</v>
      </c>
      <c r="W154" s="2" t="s">
        <v>384</v>
      </c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 t="s">
        <v>593</v>
      </c>
      <c r="AQ154" s="9">
        <f>AVERAGE(5,40)</f>
        <v>22.5</v>
      </c>
      <c r="AR154" s="9" t="s">
        <v>888</v>
      </c>
      <c r="AS154" s="9">
        <v>22.5</v>
      </c>
      <c r="AT154" s="9" t="s">
        <v>889</v>
      </c>
      <c r="AU154" s="9"/>
      <c r="AV154" s="9"/>
      <c r="AW154" s="9"/>
      <c r="AX154" s="9"/>
      <c r="AY154" s="9"/>
      <c r="AZ154" s="9" t="s">
        <v>593</v>
      </c>
      <c r="BA154" s="17"/>
      <c r="BB154" s="17"/>
      <c r="BC154" s="17"/>
      <c r="BD154" s="17"/>
      <c r="BE154" s="17"/>
      <c r="BF154" s="17"/>
      <c r="BG154" s="17"/>
    </row>
    <row r="155" spans="1:59">
      <c r="A155" s="2" t="s">
        <v>149</v>
      </c>
      <c r="B155" s="2" t="s">
        <v>149</v>
      </c>
      <c r="C155" s="2" t="s">
        <v>149</v>
      </c>
      <c r="D155" s="2" t="s">
        <v>271</v>
      </c>
      <c r="E155" s="2" t="s">
        <v>272</v>
      </c>
      <c r="F155" s="2">
        <v>0</v>
      </c>
      <c r="G155" s="2">
        <f t="shared" si="81"/>
        <v>1.9498757767255199</v>
      </c>
      <c r="H155" s="2">
        <f t="shared" si="76"/>
        <v>3.8388490907372552</v>
      </c>
      <c r="I155" s="2">
        <f t="shared" ref="I155:J158" si="83">LOG(X155)</f>
        <v>1.3483048630481607</v>
      </c>
      <c r="J155" s="2">
        <f t="shared" si="83"/>
        <v>1.6273658565927327</v>
      </c>
      <c r="K155" s="2">
        <f>LOG(AG155)</f>
        <v>1.3263358609287514</v>
      </c>
      <c r="L155" s="2">
        <f t="shared" si="80"/>
        <v>1.3417641598743475</v>
      </c>
      <c r="M155" s="2">
        <f>LOG(AX155)</f>
        <v>2.6720978579357175</v>
      </c>
      <c r="N155" s="2">
        <v>1</v>
      </c>
      <c r="O155" s="12">
        <v>89.099604593040354</v>
      </c>
      <c r="P155" s="2">
        <v>10</v>
      </c>
      <c r="Q155" s="9" t="s">
        <v>305</v>
      </c>
      <c r="R155" s="9" t="s">
        <v>308</v>
      </c>
      <c r="S155" s="13">
        <v>6900</v>
      </c>
      <c r="T155" s="8">
        <v>15</v>
      </c>
      <c r="U155" s="9" t="s">
        <v>305</v>
      </c>
      <c r="V155" s="2" t="s">
        <v>306</v>
      </c>
      <c r="W155" s="2" t="s">
        <v>385</v>
      </c>
      <c r="X155" s="9">
        <v>22.3</v>
      </c>
      <c r="Y155" s="9">
        <v>42.4</v>
      </c>
      <c r="Z155" s="9"/>
      <c r="AA155" s="2">
        <f>Y155+Z155</f>
        <v>42.4</v>
      </c>
      <c r="AB155" s="9">
        <v>1</v>
      </c>
      <c r="AC155" s="9">
        <v>8.3000000000000007</v>
      </c>
      <c r="AD155" s="2">
        <f>AB155+AC155</f>
        <v>9.3000000000000007</v>
      </c>
      <c r="AE155" s="9"/>
      <c r="AF155" s="9"/>
      <c r="AG155" s="9">
        <v>21.2</v>
      </c>
      <c r="AH155" s="9"/>
      <c r="AI155" s="9"/>
      <c r="AJ155" s="2">
        <f>AG155</f>
        <v>21.2</v>
      </c>
      <c r="AK155" s="9">
        <v>4.8</v>
      </c>
      <c r="AL155" s="9">
        <f>SUM(X155+AA155+AD155+AF155+AG155+AK155)</f>
        <v>100</v>
      </c>
      <c r="AM155" s="9" t="s">
        <v>517</v>
      </c>
      <c r="AN155" s="9" t="s">
        <v>594</v>
      </c>
      <c r="AQ155" s="9">
        <f>AVERAGE(19.1,21.8,25)</f>
        <v>21.966666666666669</v>
      </c>
      <c r="AR155" s="9" t="s">
        <v>890</v>
      </c>
      <c r="AS155" s="9">
        <v>21.966666666666669</v>
      </c>
      <c r="AT155" s="9" t="s">
        <v>891</v>
      </c>
      <c r="AU155" s="9">
        <v>1900</v>
      </c>
      <c r="AV155" s="9"/>
      <c r="AW155" s="9"/>
      <c r="AX155" s="9">
        <v>470</v>
      </c>
      <c r="AY155" s="9"/>
      <c r="AZ155" s="9" t="s">
        <v>594</v>
      </c>
      <c r="BA155" s="17"/>
      <c r="BB155" s="17"/>
      <c r="BC155" s="17"/>
      <c r="BD155" s="17"/>
      <c r="BE155" s="17"/>
      <c r="BF155" s="17"/>
      <c r="BG155" s="17"/>
    </row>
    <row r="156" spans="1:59">
      <c r="A156" s="2" t="s">
        <v>150</v>
      </c>
      <c r="B156" s="2" t="s">
        <v>150</v>
      </c>
      <c r="C156" s="2" t="s">
        <v>150</v>
      </c>
      <c r="D156" s="2" t="s">
        <v>271</v>
      </c>
      <c r="E156" s="2" t="s">
        <v>272</v>
      </c>
      <c r="F156" s="2">
        <v>1</v>
      </c>
      <c r="G156" s="2">
        <f t="shared" si="81"/>
        <v>1.8813846567705728</v>
      </c>
      <c r="H156" s="2">
        <f t="shared" si="76"/>
        <v>3.6937269489236471</v>
      </c>
      <c r="I156" s="2">
        <f t="shared" si="83"/>
        <v>1.0809870469108873</v>
      </c>
      <c r="J156" s="2">
        <f t="shared" si="83"/>
        <v>1.6742485955277979</v>
      </c>
      <c r="K156" s="2">
        <f>LOG(AG156)</f>
        <v>1.3610979671879635</v>
      </c>
      <c r="L156" s="2">
        <f t="shared" si="80"/>
        <v>1.3617278360175928</v>
      </c>
      <c r="M156" s="2">
        <f>LOG(AX156)</f>
        <v>2.8864907251724818</v>
      </c>
      <c r="N156" s="2">
        <v>1</v>
      </c>
      <c r="O156" s="12">
        <v>76.099999999999994</v>
      </c>
      <c r="P156" s="2">
        <v>5</v>
      </c>
      <c r="Q156" s="9" t="s">
        <v>305</v>
      </c>
      <c r="R156" s="9" t="s">
        <v>308</v>
      </c>
      <c r="S156" s="13">
        <v>4940</v>
      </c>
      <c r="T156" s="8">
        <v>4</v>
      </c>
      <c r="U156" s="9" t="s">
        <v>305</v>
      </c>
      <c r="V156" s="2" t="s">
        <v>306</v>
      </c>
      <c r="W156" s="2" t="s">
        <v>386</v>
      </c>
      <c r="X156" s="9">
        <f>AVERAGE(14.3,9.8)</f>
        <v>12.05</v>
      </c>
      <c r="Y156" s="9">
        <f>AVERAGE(53.8,42, 45.9)</f>
        <v>47.233333333333327</v>
      </c>
      <c r="Z156" s="9">
        <v>13.3</v>
      </c>
      <c r="AA156" s="2">
        <f>Y156+Z156</f>
        <v>60.533333333333331</v>
      </c>
      <c r="AB156" s="9"/>
      <c r="AC156" s="9">
        <f>AVERAGE(7.2,3.2,2)</f>
        <v>4.1333333333333337</v>
      </c>
      <c r="AD156" s="2">
        <f>AB156+AC156</f>
        <v>4.1333333333333337</v>
      </c>
      <c r="AE156" s="9">
        <f>AA156+AD156</f>
        <v>64.666666666666671</v>
      </c>
      <c r="AF156" s="9"/>
      <c r="AG156" s="9">
        <v>22.966666666666669</v>
      </c>
      <c r="AH156" s="9">
        <v>12.5</v>
      </c>
      <c r="AI156" s="9">
        <v>12.3</v>
      </c>
      <c r="AJ156" s="2">
        <f>AG156</f>
        <v>22.966666666666669</v>
      </c>
      <c r="AK156" s="9">
        <v>0.3</v>
      </c>
      <c r="AL156" s="9">
        <f>SUM(X156+AA156+AD156+AF156+AG156+AK156)</f>
        <v>99.983333333333334</v>
      </c>
      <c r="AM156" s="9" t="s">
        <v>458</v>
      </c>
      <c r="AN156" s="9" t="s">
        <v>595</v>
      </c>
      <c r="AO156" s="9"/>
      <c r="AP156" s="9"/>
      <c r="AQ156" s="9">
        <f>AVERAGE(12.2,22,47)</f>
        <v>27.066666666666666</v>
      </c>
      <c r="AR156" s="9" t="s">
        <v>892</v>
      </c>
      <c r="AS156" s="9">
        <v>23</v>
      </c>
      <c r="AT156" s="9" t="s">
        <v>893</v>
      </c>
      <c r="AU156" s="9">
        <v>2064.5</v>
      </c>
      <c r="AV156" s="9"/>
      <c r="AW156" s="9"/>
      <c r="AX156" s="9">
        <v>770</v>
      </c>
      <c r="AY156" s="9" t="s">
        <v>1197</v>
      </c>
      <c r="AZ156" s="9" t="s">
        <v>1198</v>
      </c>
      <c r="BA156" s="17"/>
      <c r="BB156" s="17"/>
      <c r="BC156" s="17"/>
      <c r="BD156" s="17"/>
      <c r="BE156" s="17"/>
      <c r="BF156" s="17"/>
      <c r="BG156" s="17"/>
    </row>
    <row r="157" spans="1:59">
      <c r="A157" s="2" t="s">
        <v>151</v>
      </c>
      <c r="B157" s="2" t="s">
        <v>151</v>
      </c>
      <c r="C157" s="2" t="s">
        <v>151</v>
      </c>
      <c r="D157" s="2" t="s">
        <v>271</v>
      </c>
      <c r="E157" s="2" t="s">
        <v>272</v>
      </c>
      <c r="F157" s="2">
        <v>0</v>
      </c>
      <c r="G157" s="2">
        <f t="shared" si="81"/>
        <v>1.7848593263946297</v>
      </c>
      <c r="H157" s="2">
        <f t="shared" si="76"/>
        <v>3.545851190257264</v>
      </c>
      <c r="I157" s="2">
        <f t="shared" si="83"/>
        <v>0.60745502321466849</v>
      </c>
      <c r="J157" s="2">
        <f t="shared" si="83"/>
        <v>1.885643871835764</v>
      </c>
      <c r="K157" s="2">
        <f>LOG(AG157)</f>
        <v>0.97312785359969867</v>
      </c>
      <c r="L157" s="2">
        <f t="shared" si="80"/>
        <v>1.4313637641589874</v>
      </c>
      <c r="M157" s="2">
        <f>LOG(AX157)</f>
        <v>2.1139433523068369</v>
      </c>
      <c r="N157" s="2">
        <v>1</v>
      </c>
      <c r="O157" s="12">
        <v>60.933949232039026</v>
      </c>
      <c r="P157" s="2">
        <v>98</v>
      </c>
      <c r="Q157" s="9" t="s">
        <v>305</v>
      </c>
      <c r="R157" s="9" t="s">
        <v>308</v>
      </c>
      <c r="S157" s="8">
        <v>3514.4</v>
      </c>
      <c r="T157" s="10">
        <v>32</v>
      </c>
      <c r="U157" s="9" t="s">
        <v>305</v>
      </c>
      <c r="V157" s="9" t="s">
        <v>312</v>
      </c>
      <c r="W157" s="9" t="s">
        <v>311</v>
      </c>
      <c r="X157" s="9">
        <f>AVERAGE(4.1,4)</f>
        <v>4.05</v>
      </c>
      <c r="Y157" s="9">
        <f>AVERAGE(66.7,87)</f>
        <v>76.849999999999994</v>
      </c>
      <c r="Z157" s="9">
        <f>AVERAGE(0)</f>
        <v>0</v>
      </c>
      <c r="AA157" s="2">
        <f>Y157+Z157</f>
        <v>76.849999999999994</v>
      </c>
      <c r="AB157" s="9"/>
      <c r="AC157" s="9">
        <f>AVERAGE(8.9,5.4)</f>
        <v>7.15</v>
      </c>
      <c r="AD157" s="2">
        <f>AB157+AC157</f>
        <v>7.15</v>
      </c>
      <c r="AE157" s="9">
        <f>AA157+AD157</f>
        <v>84</v>
      </c>
      <c r="AF157" s="9"/>
      <c r="AG157" s="9">
        <v>9.4</v>
      </c>
      <c r="AH157" s="9"/>
      <c r="AI157" s="9"/>
      <c r="AJ157" s="2">
        <f>AG157</f>
        <v>9.4</v>
      </c>
      <c r="AK157" s="2">
        <f>AVERAGE(3.1,2)</f>
        <v>2.5499999999999998</v>
      </c>
      <c r="AL157" s="9">
        <f>SUM(X157+AA157+AD157+AF157+AG157+AK157)</f>
        <v>100</v>
      </c>
      <c r="AM157" s="9" t="s">
        <v>458</v>
      </c>
      <c r="AN157" s="9" t="s">
        <v>596</v>
      </c>
      <c r="AO157" s="9"/>
      <c r="AP157" s="9"/>
      <c r="AQ157" s="2">
        <v>27</v>
      </c>
      <c r="AR157" s="9" t="s">
        <v>894</v>
      </c>
      <c r="AS157" s="2">
        <v>27</v>
      </c>
      <c r="AT157" s="9" t="s">
        <v>895</v>
      </c>
      <c r="AU157" s="9">
        <v>1900</v>
      </c>
      <c r="AV157" s="9"/>
      <c r="AW157" s="9"/>
      <c r="AX157" s="9">
        <v>130</v>
      </c>
      <c r="AY157" s="9" t="s">
        <v>1199</v>
      </c>
      <c r="AZ157" s="9" t="s">
        <v>1200</v>
      </c>
      <c r="BA157" s="17"/>
      <c r="BB157" s="17"/>
      <c r="BC157" s="17"/>
      <c r="BD157" s="17"/>
      <c r="BE157" s="17"/>
      <c r="BF157" s="17"/>
      <c r="BG157" s="17"/>
    </row>
    <row r="158" spans="1:59">
      <c r="A158" s="2" t="s">
        <v>152</v>
      </c>
      <c r="B158" s="2" t="s">
        <v>152</v>
      </c>
      <c r="C158" s="2" t="s">
        <v>152</v>
      </c>
      <c r="D158" s="2" t="s">
        <v>271</v>
      </c>
      <c r="E158" s="2" t="s">
        <v>272</v>
      </c>
      <c r="F158" s="2">
        <v>1</v>
      </c>
      <c r="G158" s="2">
        <f t="shared" si="81"/>
        <v>1.9907826918031377</v>
      </c>
      <c r="H158" s="2">
        <f t="shared" si="76"/>
        <v>3.9444826721501687</v>
      </c>
      <c r="I158" s="2">
        <f t="shared" si="83"/>
        <v>0.84921460620908906</v>
      </c>
      <c r="J158" s="2">
        <f t="shared" si="83"/>
        <v>1.3564083270389813</v>
      </c>
      <c r="K158" s="2">
        <f>LOG(AG158)</f>
        <v>1.4623979978989561</v>
      </c>
      <c r="L158" s="2">
        <f t="shared" si="80"/>
        <v>1.6575338875579864</v>
      </c>
      <c r="M158" s="2">
        <f>LOG(AX158)</f>
        <v>2.6133131614554594</v>
      </c>
      <c r="N158" s="2">
        <v>1</v>
      </c>
      <c r="O158" s="12">
        <v>97.899999999999991</v>
      </c>
      <c r="P158" s="2">
        <v>6</v>
      </c>
      <c r="Q158" s="9" t="s">
        <v>305</v>
      </c>
      <c r="R158" s="9" t="s">
        <v>306</v>
      </c>
      <c r="S158" s="8">
        <v>8800</v>
      </c>
      <c r="T158" s="8">
        <v>50</v>
      </c>
      <c r="U158" s="9" t="s">
        <v>305</v>
      </c>
      <c r="V158" s="18" t="s">
        <v>387</v>
      </c>
      <c r="W158" s="2"/>
      <c r="X158" s="9">
        <f>AVERAGE(10.3,8.9,2)</f>
        <v>7.0666666666666673</v>
      </c>
      <c r="Y158" s="9">
        <f>AVERAGE(30.2,28.6,10.2,31.6,13)</f>
        <v>22.72</v>
      </c>
      <c r="Z158" s="9">
        <f>AVERAGE(13.2,28.2,43.6,19.5,4)</f>
        <v>21.7</v>
      </c>
      <c r="AA158" s="2">
        <f>Y158+Z158</f>
        <v>44.42</v>
      </c>
      <c r="AB158" s="9">
        <v>0.1</v>
      </c>
      <c r="AC158" s="9">
        <f>AVERAGE(5.5,4.9,18,15)</f>
        <v>10.85</v>
      </c>
      <c r="AD158" s="2">
        <f>AB158+AC158</f>
        <v>10.95</v>
      </c>
      <c r="AE158" s="9">
        <f>AA158+AD158</f>
        <v>55.370000000000005</v>
      </c>
      <c r="AF158" s="9"/>
      <c r="AG158" s="9">
        <v>29</v>
      </c>
      <c r="AH158" s="9">
        <f>AVERAGE(11.6,3.2,3)</f>
        <v>5.9333333333333336</v>
      </c>
      <c r="AI158" s="9">
        <f>AVERAGE(22.4,2.8,38)</f>
        <v>21.066666666666666</v>
      </c>
      <c r="AJ158" s="2">
        <f>AG158</f>
        <v>29</v>
      </c>
      <c r="AK158" s="2">
        <v>8.6</v>
      </c>
      <c r="AL158" s="9">
        <f>SUM(X158+AA158+AD158+AF158+AG158+AK158)</f>
        <v>100.03666666666666</v>
      </c>
      <c r="AM158" s="9" t="s">
        <v>458</v>
      </c>
      <c r="AN158" s="9" t="s">
        <v>597</v>
      </c>
      <c r="AQ158" s="9">
        <f>AVERAGE(27.1,34.9,36.6,54.3,78.4)</f>
        <v>46.26</v>
      </c>
      <c r="AR158" s="9" t="s">
        <v>896</v>
      </c>
      <c r="AS158" s="9">
        <v>45.45</v>
      </c>
      <c r="AT158" s="9" t="s">
        <v>897</v>
      </c>
      <c r="AU158" s="9">
        <v>1218</v>
      </c>
      <c r="AV158" s="9"/>
      <c r="AW158" s="9"/>
      <c r="AX158" s="9">
        <v>410.5</v>
      </c>
      <c r="AY158" s="9" t="s">
        <v>1201</v>
      </c>
      <c r="AZ158" s="9" t="s">
        <v>1202</v>
      </c>
      <c r="BA158" s="17"/>
      <c r="BB158" s="17"/>
      <c r="BC158" s="17"/>
      <c r="BD158" s="17"/>
      <c r="BE158" s="17"/>
      <c r="BF158" s="17"/>
      <c r="BG158" s="17"/>
    </row>
    <row r="159" spans="1:59">
      <c r="A159" s="2" t="s">
        <v>153</v>
      </c>
      <c r="B159" s="2" t="s">
        <v>153</v>
      </c>
      <c r="C159" s="2" t="s">
        <v>153</v>
      </c>
      <c r="D159" s="2" t="s">
        <v>271</v>
      </c>
      <c r="E159" s="2" t="s">
        <v>272</v>
      </c>
      <c r="F159" s="2">
        <v>0</v>
      </c>
      <c r="G159" s="2">
        <f t="shared" si="81"/>
        <v>1.9757993096794075</v>
      </c>
      <c r="H159" s="2">
        <f t="shared" si="76"/>
        <v>3.8325089127062362</v>
      </c>
      <c r="L159" s="2">
        <f t="shared" si="80"/>
        <v>1.2671717284030137</v>
      </c>
      <c r="N159" s="2">
        <v>1</v>
      </c>
      <c r="O159" s="12">
        <v>94.58</v>
      </c>
      <c r="P159" s="2">
        <v>5</v>
      </c>
      <c r="Q159" s="9" t="s">
        <v>305</v>
      </c>
      <c r="R159" s="9" t="s">
        <v>308</v>
      </c>
      <c r="S159" s="13">
        <v>6800</v>
      </c>
      <c r="T159" s="8">
        <v>2</v>
      </c>
      <c r="U159" s="9" t="s">
        <v>305</v>
      </c>
      <c r="V159" s="2" t="s">
        <v>307</v>
      </c>
      <c r="W159" s="2" t="s">
        <v>388</v>
      </c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Q159" s="9"/>
      <c r="AR159" s="9" t="s">
        <v>898</v>
      </c>
      <c r="AS159" s="9">
        <v>18.5</v>
      </c>
      <c r="AT159" s="9" t="s">
        <v>899</v>
      </c>
      <c r="AU159" s="9"/>
      <c r="AV159" s="9"/>
      <c r="AW159" s="9"/>
      <c r="AX159" s="9"/>
      <c r="AY159" s="9"/>
      <c r="AZ159" s="9"/>
      <c r="BA159" s="17"/>
      <c r="BB159" s="17"/>
      <c r="BC159" s="17"/>
      <c r="BD159" s="17"/>
      <c r="BE159" s="17"/>
      <c r="BF159" s="17"/>
      <c r="BG159" s="17"/>
    </row>
    <row r="160" spans="1:59">
      <c r="A160" s="2" t="s">
        <v>154</v>
      </c>
      <c r="B160" s="2" t="s">
        <v>154</v>
      </c>
      <c r="C160" s="2" t="s">
        <v>154</v>
      </c>
      <c r="D160" s="2" t="s">
        <v>271</v>
      </c>
      <c r="E160" s="2" t="s">
        <v>272</v>
      </c>
      <c r="F160" s="2">
        <v>0</v>
      </c>
      <c r="G160" s="2">
        <f t="shared" si="81"/>
        <v>1.9144732020957902</v>
      </c>
      <c r="H160" s="2">
        <f t="shared" si="76"/>
        <v>3.6778501868248088</v>
      </c>
      <c r="I160" s="2">
        <f>LOG(X160)</f>
        <v>1.0681858617461617</v>
      </c>
      <c r="J160" s="2">
        <f>LOG(Y160)</f>
        <v>1.8188854145940099</v>
      </c>
      <c r="K160" s="2">
        <f>LOG(AG160)</f>
        <v>0.78532983501076703</v>
      </c>
      <c r="L160" s="2">
        <f t="shared" si="80"/>
        <v>1.3673559210260189</v>
      </c>
      <c r="M160" s="2">
        <f>LOG(AX160)</f>
        <v>2.3164945392223113</v>
      </c>
      <c r="N160" s="2">
        <v>1</v>
      </c>
      <c r="O160" s="12">
        <v>82.124587674205429</v>
      </c>
      <c r="P160" s="2">
        <v>3</v>
      </c>
      <c r="Q160" s="9" t="s">
        <v>305</v>
      </c>
      <c r="R160" s="9" t="s">
        <v>306</v>
      </c>
      <c r="S160" s="8">
        <v>4762.666666666667</v>
      </c>
      <c r="T160" s="10">
        <v>3</v>
      </c>
      <c r="U160" s="9" t="s">
        <v>305</v>
      </c>
      <c r="V160" s="9" t="s">
        <v>312</v>
      </c>
      <c r="W160" s="9" t="s">
        <v>311</v>
      </c>
      <c r="X160" s="2">
        <v>11.7</v>
      </c>
      <c r="Y160" s="2">
        <v>65.900000000000006</v>
      </c>
      <c r="Z160" s="2">
        <v>6.1</v>
      </c>
      <c r="AA160" s="2">
        <f>Y160+Z160</f>
        <v>72</v>
      </c>
      <c r="AC160" s="2">
        <v>2.1</v>
      </c>
      <c r="AD160" s="2">
        <f>AB160+AC160</f>
        <v>2.1</v>
      </c>
      <c r="AE160" s="9">
        <f>AA160+AD160</f>
        <v>74.099999999999994</v>
      </c>
      <c r="AG160" s="2">
        <v>6.1</v>
      </c>
      <c r="AJ160" s="9">
        <f>AG160</f>
        <v>6.1</v>
      </c>
      <c r="AK160" s="2">
        <v>8.1</v>
      </c>
      <c r="AL160" s="9">
        <f>SUM(X160+AA160+AD160+AF160+AG160+AK160)</f>
        <v>99.999999999999986</v>
      </c>
      <c r="AM160" s="2" t="s">
        <v>598</v>
      </c>
      <c r="AN160" s="2" t="s">
        <v>599</v>
      </c>
      <c r="AQ160" s="2">
        <v>23.3</v>
      </c>
      <c r="AS160" s="2">
        <v>23.3</v>
      </c>
      <c r="AT160" s="2" t="s">
        <v>599</v>
      </c>
      <c r="AU160" s="2">
        <v>1423.57</v>
      </c>
      <c r="AX160" s="2">
        <v>207.25</v>
      </c>
      <c r="AY160" s="2" t="s">
        <v>1203</v>
      </c>
      <c r="AZ160" s="2" t="s">
        <v>599</v>
      </c>
      <c r="BA160" s="16"/>
      <c r="BB160" s="16"/>
      <c r="BC160" s="16"/>
      <c r="BD160" s="16"/>
      <c r="BE160" s="16"/>
      <c r="BF160" s="16"/>
      <c r="BG160" s="16"/>
    </row>
    <row r="161" spans="1:59">
      <c r="A161" s="2" t="s">
        <v>155</v>
      </c>
      <c r="B161" s="2" t="s">
        <v>155</v>
      </c>
      <c r="C161" s="2" t="s">
        <v>155</v>
      </c>
      <c r="D161" s="2" t="s">
        <v>271</v>
      </c>
      <c r="E161" s="2" t="s">
        <v>272</v>
      </c>
      <c r="F161" s="2">
        <v>0</v>
      </c>
      <c r="G161" s="2">
        <f t="shared" si="81"/>
        <v>1.941345766226938</v>
      </c>
      <c r="H161" s="2">
        <f t="shared" si="76"/>
        <v>3.7454948229867862</v>
      </c>
      <c r="L161" s="2">
        <f t="shared" si="80"/>
        <v>1.414973347970818</v>
      </c>
      <c r="M161" s="2">
        <f>LOG(AX161)</f>
        <v>1.3979400086720377</v>
      </c>
      <c r="N161" s="2">
        <v>1</v>
      </c>
      <c r="O161" s="12">
        <v>87.366666666666674</v>
      </c>
      <c r="P161" s="2">
        <v>6</v>
      </c>
      <c r="Q161" s="9" t="s">
        <v>305</v>
      </c>
      <c r="R161" s="9" t="s">
        <v>308</v>
      </c>
      <c r="S161" s="8">
        <v>5565.38</v>
      </c>
      <c r="T161" s="8">
        <v>13</v>
      </c>
      <c r="U161" s="9" t="s">
        <v>305</v>
      </c>
      <c r="V161" s="15" t="s">
        <v>389</v>
      </c>
      <c r="W161" s="2"/>
      <c r="AQ161" s="2">
        <v>26</v>
      </c>
      <c r="AR161" s="9" t="s">
        <v>900</v>
      </c>
      <c r="AS161" s="9">
        <v>26</v>
      </c>
      <c r="AT161" s="9" t="s">
        <v>901</v>
      </c>
      <c r="AU161" s="9"/>
      <c r="AX161" s="2">
        <v>25</v>
      </c>
      <c r="AY161" s="2" t="s">
        <v>1204</v>
      </c>
      <c r="AZ161" s="9" t="s">
        <v>901</v>
      </c>
      <c r="BA161" s="16"/>
      <c r="BB161" s="16"/>
      <c r="BC161" s="16"/>
      <c r="BD161" s="16"/>
      <c r="BE161" s="16"/>
      <c r="BF161" s="16"/>
      <c r="BG161" s="16"/>
    </row>
    <row r="162" spans="1:59">
      <c r="A162" s="2" t="s">
        <v>156</v>
      </c>
      <c r="B162" s="2" t="s">
        <v>156</v>
      </c>
      <c r="C162" s="2" t="s">
        <v>156</v>
      </c>
      <c r="D162" s="2" t="s">
        <v>271</v>
      </c>
      <c r="E162" s="2" t="s">
        <v>272</v>
      </c>
      <c r="F162" s="2">
        <v>1</v>
      </c>
      <c r="G162" s="2">
        <f t="shared" si="81"/>
        <v>1.9251665335044723</v>
      </c>
      <c r="H162" s="2">
        <f t="shared" si="76"/>
        <v>3.753619689809506</v>
      </c>
      <c r="J162" s="2">
        <f t="shared" ref="J162:J169" si="84">LOG(Y162)</f>
        <v>0.92941892571429274</v>
      </c>
      <c r="K162" s="2">
        <f>LOG(AG162)</f>
        <v>1.9263424466256551</v>
      </c>
      <c r="L162" s="2">
        <f t="shared" si="80"/>
        <v>1.550228353055094</v>
      </c>
      <c r="M162" s="2">
        <f>LOG(AX162)</f>
        <v>0.84509804001425681</v>
      </c>
      <c r="N162" s="2">
        <v>1</v>
      </c>
      <c r="O162" s="12">
        <v>84.171784284446758</v>
      </c>
      <c r="P162" s="2">
        <v>88</v>
      </c>
      <c r="Q162" s="9" t="s">
        <v>305</v>
      </c>
      <c r="R162" s="9" t="s">
        <v>306</v>
      </c>
      <c r="S162" s="8">
        <v>5670.478260869565</v>
      </c>
      <c r="T162" s="10">
        <v>46</v>
      </c>
      <c r="U162" s="9" t="s">
        <v>305</v>
      </c>
      <c r="V162" s="9" t="s">
        <v>312</v>
      </c>
      <c r="W162" s="9" t="s">
        <v>311</v>
      </c>
      <c r="X162" s="9">
        <v>0</v>
      </c>
      <c r="Y162" s="9">
        <v>8.5</v>
      </c>
      <c r="Z162" s="9">
        <v>0</v>
      </c>
      <c r="AA162" s="2">
        <f t="shared" ref="AA162:AA169" si="85">Y162+Z162</f>
        <v>8.5</v>
      </c>
      <c r="AB162" s="9">
        <v>1.1000000000000001</v>
      </c>
      <c r="AC162" s="9">
        <v>3.7</v>
      </c>
      <c r="AD162" s="2">
        <f>AB162+AC162</f>
        <v>4.8000000000000007</v>
      </c>
      <c r="AE162" s="9">
        <f t="shared" ref="AE162:AE169" si="86">AA162+AD162</f>
        <v>13.3</v>
      </c>
      <c r="AF162" s="9"/>
      <c r="AG162" s="9">
        <v>84.4</v>
      </c>
      <c r="AH162" s="9"/>
      <c r="AI162" s="9"/>
      <c r="AJ162" s="9">
        <f>AG162+2.2</f>
        <v>86.600000000000009</v>
      </c>
      <c r="AK162" s="9">
        <v>2.2999999999999998</v>
      </c>
      <c r="AL162" s="9">
        <f>SUM(X162+AA162+AD162+AF162+AG162+AK162)</f>
        <v>100</v>
      </c>
      <c r="AM162" s="9" t="s">
        <v>460</v>
      </c>
      <c r="AN162" s="9" t="s">
        <v>600</v>
      </c>
      <c r="AQ162" s="9">
        <f>AVERAGE(41.3,32,33.2)</f>
        <v>35.5</v>
      </c>
      <c r="AR162" s="9" t="s">
        <v>902</v>
      </c>
      <c r="AS162" s="9">
        <v>35.5</v>
      </c>
      <c r="AT162" s="9" t="s">
        <v>903</v>
      </c>
      <c r="AU162" s="9"/>
      <c r="AV162" s="9"/>
      <c r="AW162" s="9"/>
      <c r="AX162" s="9">
        <v>7</v>
      </c>
      <c r="AY162" s="9" t="s">
        <v>1205</v>
      </c>
      <c r="AZ162" s="9" t="s">
        <v>1206</v>
      </c>
      <c r="BA162" s="17"/>
      <c r="BB162" s="17"/>
      <c r="BC162" s="17"/>
      <c r="BD162" s="17"/>
      <c r="BE162" s="17"/>
      <c r="BF162" s="17"/>
      <c r="BG162" s="17"/>
    </row>
    <row r="163" spans="1:59">
      <c r="A163" s="2" t="s">
        <v>157</v>
      </c>
      <c r="B163" s="2" t="s">
        <v>157</v>
      </c>
      <c r="C163" s="2" t="s">
        <v>157</v>
      </c>
      <c r="D163" s="2" t="s">
        <v>271</v>
      </c>
      <c r="E163" s="2" t="s">
        <v>272</v>
      </c>
      <c r="F163" s="2">
        <v>0</v>
      </c>
      <c r="G163" s="2">
        <f t="shared" si="81"/>
        <v>1.9905796850285473</v>
      </c>
      <c r="H163" s="2">
        <f t="shared" si="76"/>
        <v>3.8155216686237932</v>
      </c>
      <c r="I163" s="2">
        <f>LOG(X163)</f>
        <v>1.1003705451175629</v>
      </c>
      <c r="J163" s="2">
        <f t="shared" si="84"/>
        <v>1.8704039052790271</v>
      </c>
      <c r="K163" s="2">
        <f>LOG(AG163)</f>
        <v>1.0453229787866574</v>
      </c>
      <c r="L163" s="2">
        <f t="shared" si="80"/>
        <v>1.7403626894942439</v>
      </c>
      <c r="M163" s="2">
        <f>LOG(AX163)</f>
        <v>2.5314789170422549</v>
      </c>
      <c r="N163" s="2">
        <v>1</v>
      </c>
      <c r="O163" s="12">
        <v>97.854248281421562</v>
      </c>
      <c r="P163" s="2">
        <v>21</v>
      </c>
      <c r="Q163" s="9" t="s">
        <v>305</v>
      </c>
      <c r="R163" s="9" t="s">
        <v>308</v>
      </c>
      <c r="S163" s="8">
        <v>6539.155555555556</v>
      </c>
      <c r="T163" s="10">
        <v>9</v>
      </c>
      <c r="U163" s="9" t="s">
        <v>305</v>
      </c>
      <c r="V163" s="9" t="s">
        <v>312</v>
      </c>
      <c r="W163" s="9" t="s">
        <v>311</v>
      </c>
      <c r="X163" s="9">
        <v>12.6</v>
      </c>
      <c r="Y163" s="9">
        <v>74.2</v>
      </c>
      <c r="Z163" s="9">
        <v>0</v>
      </c>
      <c r="AA163" s="2">
        <f t="shared" si="85"/>
        <v>74.2</v>
      </c>
      <c r="AB163" s="9"/>
      <c r="AC163" s="9">
        <v>1.1000000000000001</v>
      </c>
      <c r="AD163" s="2">
        <f>AB163+AC163</f>
        <v>1.1000000000000001</v>
      </c>
      <c r="AE163" s="9">
        <f t="shared" si="86"/>
        <v>75.3</v>
      </c>
      <c r="AF163" s="9"/>
      <c r="AG163" s="9">
        <v>11.1</v>
      </c>
      <c r="AH163" s="9">
        <v>3.5</v>
      </c>
      <c r="AI163" s="9">
        <v>2.7</v>
      </c>
      <c r="AJ163" s="2">
        <f>AG163</f>
        <v>11.1</v>
      </c>
      <c r="AK163" s="9">
        <v>1</v>
      </c>
      <c r="AL163" s="9">
        <f>SUM(X163+AA163+AD163+AF163+AG163+AK163)</f>
        <v>99.999999999999986</v>
      </c>
      <c r="AM163" s="9" t="s">
        <v>460</v>
      </c>
      <c r="AN163" s="9" t="s">
        <v>601</v>
      </c>
      <c r="AQ163" s="9">
        <f>AVERAGE(50,65,50)</f>
        <v>55</v>
      </c>
      <c r="AR163" s="9" t="s">
        <v>904</v>
      </c>
      <c r="AS163" s="9">
        <v>55</v>
      </c>
      <c r="AT163" s="9" t="s">
        <v>905</v>
      </c>
      <c r="AU163" s="9">
        <v>2960</v>
      </c>
      <c r="AV163" s="9"/>
      <c r="AW163" s="9"/>
      <c r="AX163" s="9">
        <v>340</v>
      </c>
      <c r="AY163" s="9" t="s">
        <v>1207</v>
      </c>
      <c r="AZ163" s="9" t="s">
        <v>1208</v>
      </c>
      <c r="BA163" s="17"/>
      <c r="BB163" s="17"/>
      <c r="BC163" s="17"/>
      <c r="BD163" s="17"/>
      <c r="BE163" s="17"/>
      <c r="BF163" s="17"/>
      <c r="BG163" s="17"/>
    </row>
    <row r="164" spans="1:59">
      <c r="A164" s="2" t="s">
        <v>158</v>
      </c>
      <c r="B164" s="2" t="s">
        <v>158</v>
      </c>
      <c r="C164" s="2" t="s">
        <v>158</v>
      </c>
      <c r="D164" s="2" t="s">
        <v>271</v>
      </c>
      <c r="E164" s="2" t="s">
        <v>272</v>
      </c>
      <c r="F164" s="2">
        <v>1</v>
      </c>
      <c r="G164" s="2">
        <f t="shared" si="81"/>
        <v>1.9083509566822145</v>
      </c>
      <c r="H164" s="2">
        <f t="shared" si="76"/>
        <v>3.7379873263334309</v>
      </c>
      <c r="I164" s="2">
        <f>LOG(X164)</f>
        <v>1.505149978319906</v>
      </c>
      <c r="J164" s="2">
        <f t="shared" si="84"/>
        <v>1.816241299991783</v>
      </c>
      <c r="L164" s="2">
        <f t="shared" si="80"/>
        <v>1.8260748027008264</v>
      </c>
      <c r="M164" s="2">
        <f>LOG(AX164)</f>
        <v>2.3777917675881932</v>
      </c>
      <c r="N164" s="2">
        <v>1</v>
      </c>
      <c r="O164" s="12">
        <v>80.974999999999994</v>
      </c>
      <c r="P164" s="2">
        <v>12</v>
      </c>
      <c r="Q164" s="9" t="s">
        <v>305</v>
      </c>
      <c r="R164" s="9" t="s">
        <v>308</v>
      </c>
      <c r="S164" s="13">
        <v>5470</v>
      </c>
      <c r="T164" s="8">
        <v>3</v>
      </c>
      <c r="U164" s="9" t="s">
        <v>305</v>
      </c>
      <c r="V164" s="2" t="s">
        <v>306</v>
      </c>
      <c r="W164" s="2" t="s">
        <v>390</v>
      </c>
      <c r="X164" s="2">
        <v>32</v>
      </c>
      <c r="Y164" s="2">
        <v>65.5</v>
      </c>
      <c r="Z164" s="2">
        <v>2.5</v>
      </c>
      <c r="AA164" s="2">
        <f t="shared" si="85"/>
        <v>68</v>
      </c>
      <c r="AE164" s="9">
        <f t="shared" si="86"/>
        <v>68</v>
      </c>
      <c r="AG164" s="2">
        <v>0</v>
      </c>
      <c r="AJ164" s="9">
        <f>AG164</f>
        <v>0</v>
      </c>
      <c r="AK164" s="2">
        <v>0</v>
      </c>
      <c r="AL164" s="9">
        <f>SUM(X164+AA164+AD164+AF164+AJ164+AK164)</f>
        <v>100</v>
      </c>
      <c r="AM164" s="9" t="s">
        <v>460</v>
      </c>
      <c r="AN164" s="2" t="s">
        <v>602</v>
      </c>
      <c r="AQ164" s="2">
        <v>67</v>
      </c>
      <c r="AR164" s="2" t="s">
        <v>906</v>
      </c>
      <c r="AS164" s="2">
        <v>67</v>
      </c>
      <c r="AT164" s="9" t="s">
        <v>901</v>
      </c>
      <c r="AU164" s="9">
        <f>AVERAGE(3140,2270,1750)</f>
        <v>2386.6666666666665</v>
      </c>
      <c r="AX164" s="2">
        <v>238.66666666666666</v>
      </c>
      <c r="AY164" s="2" t="s">
        <v>1209</v>
      </c>
      <c r="AZ164" s="9" t="s">
        <v>1210</v>
      </c>
      <c r="BA164" s="16"/>
      <c r="BB164" s="16"/>
      <c r="BC164" s="16"/>
      <c r="BD164" s="16"/>
      <c r="BE164" s="16"/>
      <c r="BF164" s="16"/>
      <c r="BG164" s="16"/>
    </row>
    <row r="165" spans="1:59">
      <c r="A165" s="2" t="s">
        <v>159</v>
      </c>
      <c r="B165" s="2" t="s">
        <v>159</v>
      </c>
      <c r="C165" s="2" t="s">
        <v>159</v>
      </c>
      <c r="D165" s="2" t="s">
        <v>271</v>
      </c>
      <c r="E165" s="2" t="s">
        <v>272</v>
      </c>
      <c r="F165" s="2">
        <v>0</v>
      </c>
      <c r="H165" s="2">
        <f t="shared" si="76"/>
        <v>3.8053649074664455</v>
      </c>
      <c r="I165" s="2">
        <f>LOG(X165)</f>
        <v>0.3010299956639812</v>
      </c>
      <c r="J165" s="2">
        <f t="shared" si="84"/>
        <v>1.8195439355418688</v>
      </c>
      <c r="K165" s="2">
        <f>LOG(AG165)</f>
        <v>1.0791812460476249</v>
      </c>
      <c r="N165" s="2">
        <v>1</v>
      </c>
      <c r="O165" s="9"/>
      <c r="P165" s="14"/>
      <c r="Q165" s="9"/>
      <c r="R165" s="9"/>
      <c r="S165" s="13">
        <v>6388</v>
      </c>
      <c r="T165" s="8">
        <v>9</v>
      </c>
      <c r="U165" s="9" t="s">
        <v>326</v>
      </c>
      <c r="V165" s="2" t="s">
        <v>391</v>
      </c>
      <c r="W165" s="2"/>
      <c r="X165" s="2">
        <v>2</v>
      </c>
      <c r="Y165" s="2">
        <v>66</v>
      </c>
      <c r="AA165" s="2">
        <f t="shared" si="85"/>
        <v>66</v>
      </c>
      <c r="AC165" s="2">
        <v>20</v>
      </c>
      <c r="AD165" s="2">
        <f>AB165+AC165</f>
        <v>20</v>
      </c>
      <c r="AE165" s="9">
        <f t="shared" si="86"/>
        <v>86</v>
      </c>
      <c r="AG165" s="2">
        <v>12</v>
      </c>
      <c r="AJ165" s="9">
        <f>AG165</f>
        <v>12</v>
      </c>
      <c r="AK165" s="2">
        <v>0</v>
      </c>
      <c r="AL165" s="9">
        <f>SUM(X165+AA165+AD165+AF165+AJ165+AK165)</f>
        <v>100</v>
      </c>
      <c r="AM165" s="9" t="s">
        <v>460</v>
      </c>
      <c r="AN165" s="2" t="s">
        <v>603</v>
      </c>
      <c r="AT165" s="9"/>
      <c r="AU165" s="9"/>
      <c r="AZ165" s="9"/>
      <c r="BA165" s="16"/>
      <c r="BB165" s="16"/>
      <c r="BC165" s="16"/>
      <c r="BD165" s="16"/>
      <c r="BE165" s="16"/>
      <c r="BF165" s="16"/>
      <c r="BG165" s="16"/>
    </row>
    <row r="166" spans="1:59">
      <c r="A166" s="2" t="s">
        <v>160</v>
      </c>
      <c r="B166" s="2" t="s">
        <v>160</v>
      </c>
      <c r="C166" s="2" t="s">
        <v>160</v>
      </c>
      <c r="D166" s="2" t="s">
        <v>271</v>
      </c>
      <c r="E166" s="2" t="s">
        <v>272</v>
      </c>
      <c r="F166" s="2">
        <v>0</v>
      </c>
      <c r="G166" s="2">
        <f t="shared" ref="G166:G175" si="87">LOG(O166)</f>
        <v>1.8482335297293941</v>
      </c>
      <c r="H166" s="2">
        <f t="shared" si="76"/>
        <v>3.5860994808623321</v>
      </c>
      <c r="I166" s="2">
        <f>LOG(X166)</f>
        <v>1.1613680022349748</v>
      </c>
      <c r="J166" s="2">
        <f t="shared" si="84"/>
        <v>1.6127838567197355</v>
      </c>
      <c r="K166" s="2">
        <f>LOG(AG166)</f>
        <v>1.4082399653118496</v>
      </c>
      <c r="L166" s="2">
        <f t="shared" ref="L166:L175" si="88">LOG(AS166)</f>
        <v>1.5378190950732742</v>
      </c>
      <c r="M166" s="2">
        <f t="shared" ref="M166:M175" si="89">LOG(AX166)</f>
        <v>2.5740312677277188</v>
      </c>
      <c r="N166" s="2">
        <v>1</v>
      </c>
      <c r="O166" s="12">
        <v>70.507209988300772</v>
      </c>
      <c r="P166" s="2">
        <v>5</v>
      </c>
      <c r="Q166" s="9" t="s">
        <v>305</v>
      </c>
      <c r="R166" s="9" t="s">
        <v>308</v>
      </c>
      <c r="S166" s="8">
        <v>3855.6666666666665</v>
      </c>
      <c r="T166" s="10">
        <v>3</v>
      </c>
      <c r="U166" s="9" t="s">
        <v>305</v>
      </c>
      <c r="V166" s="9" t="s">
        <v>312</v>
      </c>
      <c r="W166" s="9" t="s">
        <v>311</v>
      </c>
      <c r="X166" s="9">
        <v>14.5</v>
      </c>
      <c r="Y166" s="9">
        <v>41</v>
      </c>
      <c r="Z166" s="9">
        <v>5.0999999999999996</v>
      </c>
      <c r="AA166" s="2">
        <f t="shared" si="85"/>
        <v>46.1</v>
      </c>
      <c r="AB166" s="9"/>
      <c r="AC166" s="9">
        <f>3.3+5.4</f>
        <v>8.6999999999999993</v>
      </c>
      <c r="AD166" s="2">
        <f>AB166+AC166</f>
        <v>8.6999999999999993</v>
      </c>
      <c r="AE166" s="9">
        <f t="shared" si="86"/>
        <v>54.8</v>
      </c>
      <c r="AF166" s="9">
        <v>1.8</v>
      </c>
      <c r="AG166" s="9">
        <v>25.6</v>
      </c>
      <c r="AH166" s="9">
        <v>5.7</v>
      </c>
      <c r="AI166" s="9">
        <v>17.2</v>
      </c>
      <c r="AJ166" s="9">
        <f>AG166+0.2+0.3</f>
        <v>26.1</v>
      </c>
      <c r="AK166" s="9">
        <v>2.8</v>
      </c>
      <c r="AL166" s="9">
        <f>SUM(X166+AA166+AD166+AF166+AJ166+AK166)</f>
        <v>99.999999999999986</v>
      </c>
      <c r="AM166" s="9" t="s">
        <v>460</v>
      </c>
      <c r="AN166" s="9" t="s">
        <v>604</v>
      </c>
      <c r="AQ166" s="9">
        <v>34.5</v>
      </c>
      <c r="AR166" s="9" t="s">
        <v>907</v>
      </c>
      <c r="AS166" s="9">
        <v>34.5</v>
      </c>
      <c r="AT166" s="9" t="s">
        <v>908</v>
      </c>
      <c r="AU166" s="9">
        <f>AVERAGE(790.13,710)</f>
        <v>750.06500000000005</v>
      </c>
      <c r="AV166" s="9"/>
      <c r="AW166" s="9"/>
      <c r="AX166" s="2">
        <v>375</v>
      </c>
      <c r="AY166" s="9" t="s">
        <v>1211</v>
      </c>
      <c r="AZ166" s="9" t="s">
        <v>1212</v>
      </c>
      <c r="BA166" s="17"/>
      <c r="BB166" s="17"/>
      <c r="BC166" s="17"/>
      <c r="BD166" s="17"/>
      <c r="BE166" s="17"/>
      <c r="BF166" s="17"/>
      <c r="BG166" s="17"/>
    </row>
    <row r="167" spans="1:59">
      <c r="A167" s="2" t="s">
        <v>161</v>
      </c>
      <c r="B167" s="2" t="s">
        <v>161</v>
      </c>
      <c r="C167" s="2" t="s">
        <v>161</v>
      </c>
      <c r="D167" s="2" t="s">
        <v>271</v>
      </c>
      <c r="E167" s="2" t="s">
        <v>272</v>
      </c>
      <c r="F167" s="2">
        <v>0</v>
      </c>
      <c r="G167" s="2">
        <f t="shared" si="87"/>
        <v>1.8920946026904804</v>
      </c>
      <c r="H167" s="2">
        <f t="shared" si="76"/>
        <v>3.7853298350107671</v>
      </c>
      <c r="J167" s="2">
        <f t="shared" si="84"/>
        <v>1.7916906490201179</v>
      </c>
      <c r="L167" s="2">
        <f t="shared" si="88"/>
        <v>1.2787536009528289</v>
      </c>
      <c r="M167" s="2">
        <f t="shared" si="89"/>
        <v>2.1172712956557644</v>
      </c>
      <c r="N167" s="2">
        <v>1</v>
      </c>
      <c r="O167" s="12">
        <v>78</v>
      </c>
      <c r="P167" s="2">
        <v>2</v>
      </c>
      <c r="Q167" s="9" t="s">
        <v>305</v>
      </c>
      <c r="R167" s="9" t="s">
        <v>308</v>
      </c>
      <c r="S167" s="13">
        <v>6100</v>
      </c>
      <c r="T167" s="8">
        <v>11</v>
      </c>
      <c r="U167" s="9" t="s">
        <v>305</v>
      </c>
      <c r="V167" s="2" t="s">
        <v>306</v>
      </c>
      <c r="W167" s="2" t="s">
        <v>392</v>
      </c>
      <c r="X167" s="9">
        <v>0</v>
      </c>
      <c r="Y167" s="9">
        <v>61.9</v>
      </c>
      <c r="Z167" s="9">
        <v>31</v>
      </c>
      <c r="AA167" s="2">
        <f t="shared" si="85"/>
        <v>92.9</v>
      </c>
      <c r="AB167" s="9"/>
      <c r="AC167" s="9">
        <v>7.1</v>
      </c>
      <c r="AD167" s="2">
        <f>AB167+AC167</f>
        <v>7.1</v>
      </c>
      <c r="AE167" s="9">
        <f t="shared" si="86"/>
        <v>100</v>
      </c>
      <c r="AF167" s="9"/>
      <c r="AG167" s="9">
        <v>0</v>
      </c>
      <c r="AH167" s="9">
        <v>0</v>
      </c>
      <c r="AI167" s="9">
        <v>0</v>
      </c>
      <c r="AJ167" s="9">
        <f>AG167</f>
        <v>0</v>
      </c>
      <c r="AK167" s="9"/>
      <c r="AL167" s="9">
        <f>SUM(X167+AA167+AD167+AF167+AJ167+AK167)</f>
        <v>100</v>
      </c>
      <c r="AM167" s="9" t="s">
        <v>460</v>
      </c>
      <c r="AN167" s="9" t="s">
        <v>605</v>
      </c>
      <c r="AQ167" s="9">
        <v>19</v>
      </c>
      <c r="AR167" s="9" t="s">
        <v>781</v>
      </c>
      <c r="AS167" s="9">
        <v>19</v>
      </c>
      <c r="AT167" s="9" t="s">
        <v>909</v>
      </c>
      <c r="AU167" s="9">
        <v>2000</v>
      </c>
      <c r="AV167" s="9"/>
      <c r="AW167" s="9"/>
      <c r="AX167" s="9">
        <v>131</v>
      </c>
      <c r="AY167" s="9" t="s">
        <v>1213</v>
      </c>
      <c r="AZ167" s="9" t="s">
        <v>1214</v>
      </c>
      <c r="BA167" s="17"/>
      <c r="BB167" s="17"/>
      <c r="BC167" s="17"/>
      <c r="BD167" s="17"/>
      <c r="BE167" s="17"/>
      <c r="BF167" s="17"/>
      <c r="BG167" s="17"/>
    </row>
    <row r="168" spans="1:59">
      <c r="A168" s="2" t="s">
        <v>162</v>
      </c>
      <c r="B168" s="2" t="s">
        <v>162</v>
      </c>
      <c r="C168" s="2" t="s">
        <v>162</v>
      </c>
      <c r="D168" s="2" t="s">
        <v>271</v>
      </c>
      <c r="E168" s="2" t="s">
        <v>272</v>
      </c>
      <c r="F168" s="2">
        <v>0</v>
      </c>
      <c r="G168" s="2">
        <f t="shared" si="87"/>
        <v>1.7810369386211318</v>
      </c>
      <c r="H168" s="2">
        <f t="shared" si="76"/>
        <v>3.4865721505183562</v>
      </c>
      <c r="I168" s="2">
        <f>LOG(X168)</f>
        <v>0.14612803567823801</v>
      </c>
      <c r="J168" s="2">
        <f t="shared" si="84"/>
        <v>1.8195439355418688</v>
      </c>
      <c r="K168" s="2">
        <f>LOG(AG168)</f>
        <v>1.0413926851582251</v>
      </c>
      <c r="L168" s="2">
        <f t="shared" si="88"/>
        <v>1.3926969532596658</v>
      </c>
      <c r="M168" s="2">
        <f t="shared" si="89"/>
        <v>1.6127838567197355</v>
      </c>
      <c r="N168" s="2">
        <v>1</v>
      </c>
      <c r="O168" s="12">
        <v>60.4</v>
      </c>
      <c r="P168" s="2">
        <v>2</v>
      </c>
      <c r="Q168" s="9" t="s">
        <v>305</v>
      </c>
      <c r="R168" s="9" t="s">
        <v>308</v>
      </c>
      <c r="S168" s="13">
        <v>3066</v>
      </c>
      <c r="T168" s="8">
        <v>20</v>
      </c>
      <c r="U168" s="9" t="s">
        <v>326</v>
      </c>
      <c r="V168" s="2" t="s">
        <v>393</v>
      </c>
      <c r="W168" s="2"/>
      <c r="X168" s="9">
        <v>1.4</v>
      </c>
      <c r="Y168" s="9">
        <v>66</v>
      </c>
      <c r="Z168" s="9">
        <v>1</v>
      </c>
      <c r="AA168" s="2">
        <f t="shared" si="85"/>
        <v>67</v>
      </c>
      <c r="AB168" s="9"/>
      <c r="AC168" s="9">
        <v>1</v>
      </c>
      <c r="AD168" s="2">
        <f>AB168+AC168</f>
        <v>1</v>
      </c>
      <c r="AE168" s="9">
        <f t="shared" si="86"/>
        <v>68</v>
      </c>
      <c r="AF168" s="9">
        <v>1</v>
      </c>
      <c r="AG168" s="9">
        <v>11</v>
      </c>
      <c r="AH168" s="9">
        <v>10</v>
      </c>
      <c r="AI168" s="9">
        <v>1</v>
      </c>
      <c r="AJ168" s="9">
        <f>AG168</f>
        <v>11</v>
      </c>
      <c r="AK168" s="9">
        <v>18.600000000000001</v>
      </c>
      <c r="AL168" s="9">
        <f>SUM(X168+AA168+AD168+AF168+AJ168+AK168)</f>
        <v>100</v>
      </c>
      <c r="AM168" s="9" t="s">
        <v>460</v>
      </c>
      <c r="AN168" s="9" t="s">
        <v>606</v>
      </c>
      <c r="AQ168" s="9">
        <v>24.7</v>
      </c>
      <c r="AR168" s="9" t="s">
        <v>910</v>
      </c>
      <c r="AS168" s="9">
        <v>24.7</v>
      </c>
      <c r="AT168" s="9" t="s">
        <v>911</v>
      </c>
      <c r="AU168" s="9">
        <v>1250</v>
      </c>
      <c r="AV168" s="9"/>
      <c r="AW168" s="9"/>
      <c r="AX168" s="9">
        <v>41</v>
      </c>
      <c r="AY168" s="9"/>
      <c r="AZ168" s="9"/>
      <c r="BA168" s="17"/>
      <c r="BB168" s="17"/>
      <c r="BC168" s="17"/>
      <c r="BD168" s="17"/>
      <c r="BE168" s="17"/>
      <c r="BF168" s="17"/>
      <c r="BG168" s="17"/>
    </row>
    <row r="169" spans="1:59">
      <c r="A169" s="2" t="s">
        <v>163</v>
      </c>
      <c r="B169" s="2" t="s">
        <v>163</v>
      </c>
      <c r="C169" s="2" t="s">
        <v>163</v>
      </c>
      <c r="D169" s="2" t="s">
        <v>271</v>
      </c>
      <c r="E169" s="2" t="s">
        <v>272</v>
      </c>
      <c r="F169" s="2">
        <v>1</v>
      </c>
      <c r="G169" s="2">
        <f t="shared" si="87"/>
        <v>1.9680786207731018</v>
      </c>
      <c r="H169" s="2">
        <f t="shared" si="76"/>
        <v>4.008600171761918</v>
      </c>
      <c r="I169" s="2">
        <f>LOG(X169)</f>
        <v>0.90579588036786851</v>
      </c>
      <c r="J169" s="2">
        <f t="shared" si="84"/>
        <v>0.40654018043395512</v>
      </c>
      <c r="K169" s="2">
        <f>LOG(AG169)</f>
        <v>1.0374264979406236</v>
      </c>
      <c r="L169" s="2">
        <f t="shared" si="88"/>
        <v>1.3802112417116059</v>
      </c>
      <c r="M169" s="2">
        <f t="shared" si="89"/>
        <v>2.5440680443502757</v>
      </c>
      <c r="N169" s="2">
        <v>1</v>
      </c>
      <c r="O169" s="12">
        <v>92.913457373568349</v>
      </c>
      <c r="P169" s="2">
        <v>10</v>
      </c>
      <c r="Q169" s="9" t="s">
        <v>305</v>
      </c>
      <c r="R169" s="9" t="s">
        <v>308</v>
      </c>
      <c r="S169" s="8">
        <v>10200</v>
      </c>
      <c r="T169" s="8"/>
      <c r="U169" s="9" t="s">
        <v>305</v>
      </c>
      <c r="V169" s="18" t="s">
        <v>394</v>
      </c>
      <c r="W169" s="2"/>
      <c r="X169" s="9">
        <f>AVERAGE(10.5,5.6)</f>
        <v>8.0500000000000007</v>
      </c>
      <c r="Y169" s="9">
        <f>AVERAGE(0.8,4.3)</f>
        <v>2.5499999999999998</v>
      </c>
      <c r="Z169" s="9">
        <f>AVERAGE(32.2,26.7)</f>
        <v>29.450000000000003</v>
      </c>
      <c r="AA169" s="2">
        <f t="shared" si="85"/>
        <v>32</v>
      </c>
      <c r="AB169" s="9"/>
      <c r="AC169" s="9">
        <f>AVERAGE(28.9,44.4)</f>
        <v>36.65</v>
      </c>
      <c r="AD169" s="2">
        <f>AB169+AC169</f>
        <v>36.65</v>
      </c>
      <c r="AE169" s="9">
        <f t="shared" si="86"/>
        <v>68.650000000000006</v>
      </c>
      <c r="AF169" s="9"/>
      <c r="AG169" s="9">
        <v>10.9</v>
      </c>
      <c r="AH169" s="9"/>
      <c r="AI169" s="9"/>
      <c r="AJ169" s="2">
        <f>AG169</f>
        <v>10.9</v>
      </c>
      <c r="AK169" s="2">
        <f>AVERAGE(18.8,6)</f>
        <v>12.4</v>
      </c>
      <c r="AL169" s="9">
        <f>SUM(X169+AA169+AD169+AF169+AG169+AK169)</f>
        <v>100</v>
      </c>
      <c r="AM169" s="9" t="s">
        <v>458</v>
      </c>
      <c r="AN169" s="9" t="s">
        <v>596</v>
      </c>
      <c r="AQ169" s="9">
        <v>24</v>
      </c>
      <c r="AR169" s="9" t="s">
        <v>912</v>
      </c>
      <c r="AS169" s="9">
        <v>24</v>
      </c>
      <c r="AT169" s="9" t="s">
        <v>913</v>
      </c>
      <c r="AU169" s="9">
        <v>5500</v>
      </c>
      <c r="AV169" s="9"/>
      <c r="AW169" s="9"/>
      <c r="AX169" s="9">
        <v>350</v>
      </c>
      <c r="AY169" s="9" t="s">
        <v>1215</v>
      </c>
      <c r="AZ169" s="9" t="s">
        <v>1216</v>
      </c>
      <c r="BA169" s="17"/>
      <c r="BB169" s="17"/>
      <c r="BC169" s="17"/>
      <c r="BD169" s="17"/>
      <c r="BE169" s="17"/>
      <c r="BF169" s="17"/>
      <c r="BG169" s="17"/>
    </row>
    <row r="170" spans="1:59">
      <c r="A170" s="2" t="s">
        <v>164</v>
      </c>
      <c r="B170" s="2" t="s">
        <v>164</v>
      </c>
      <c r="C170" s="2" t="s">
        <v>164</v>
      </c>
      <c r="D170" s="2" t="s">
        <v>271</v>
      </c>
      <c r="E170" s="2" t="s">
        <v>272</v>
      </c>
      <c r="F170" s="2">
        <v>1</v>
      </c>
      <c r="G170" s="2">
        <f t="shared" si="87"/>
        <v>2.037027879755775</v>
      </c>
      <c r="H170" s="2">
        <f t="shared" si="76"/>
        <v>4.1072099696478688</v>
      </c>
      <c r="L170" s="2">
        <f t="shared" si="88"/>
        <v>1.3802112417116059</v>
      </c>
      <c r="M170" s="2">
        <f t="shared" si="89"/>
        <v>2.4771212547196626</v>
      </c>
      <c r="N170" s="2">
        <v>1</v>
      </c>
      <c r="O170" s="12">
        <v>108.89999999999999</v>
      </c>
      <c r="P170" s="2">
        <v>3</v>
      </c>
      <c r="Q170" s="9" t="s">
        <v>305</v>
      </c>
      <c r="R170" s="9" t="s">
        <v>308</v>
      </c>
      <c r="S170" s="13">
        <v>12800</v>
      </c>
      <c r="T170" s="8"/>
      <c r="U170" s="9" t="s">
        <v>305</v>
      </c>
      <c r="V170" s="15" t="s">
        <v>395</v>
      </c>
      <c r="W170" s="2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Q170" s="9">
        <v>24</v>
      </c>
      <c r="AR170" s="9" t="s">
        <v>914</v>
      </c>
      <c r="AS170" s="9">
        <v>24</v>
      </c>
      <c r="AT170" s="9" t="s">
        <v>915</v>
      </c>
      <c r="AU170" s="9"/>
      <c r="AV170" s="9"/>
      <c r="AW170" s="9"/>
      <c r="AX170" s="9">
        <v>300</v>
      </c>
      <c r="AY170" s="9"/>
      <c r="AZ170" s="9" t="s">
        <v>1217</v>
      </c>
      <c r="BA170" s="17"/>
      <c r="BB170" s="17"/>
      <c r="BC170" s="17"/>
      <c r="BD170" s="17"/>
      <c r="BE170" s="17"/>
      <c r="BF170" s="17"/>
      <c r="BG170" s="17"/>
    </row>
    <row r="171" spans="1:59">
      <c r="A171" s="2" t="s">
        <v>165</v>
      </c>
      <c r="B171" s="2" t="s">
        <v>165</v>
      </c>
      <c r="C171" s="2" t="s">
        <v>165</v>
      </c>
      <c r="D171" s="2" t="s">
        <v>271</v>
      </c>
      <c r="E171" s="2" t="s">
        <v>272</v>
      </c>
      <c r="F171" s="2">
        <v>1</v>
      </c>
      <c r="G171" s="2">
        <f t="shared" si="87"/>
        <v>1.9721607453834509</v>
      </c>
      <c r="H171" s="2">
        <f t="shared" si="76"/>
        <v>3.9103575572728775</v>
      </c>
      <c r="I171" s="2">
        <f t="shared" ref="I171:J174" si="90">LOG(X171)</f>
        <v>0.72427586960078905</v>
      </c>
      <c r="J171" s="2">
        <f t="shared" si="90"/>
        <v>1.8813846567705728</v>
      </c>
      <c r="K171" s="2">
        <f>LOG(AG171)</f>
        <v>1.1882251727052793</v>
      </c>
      <c r="L171" s="2">
        <f t="shared" si="88"/>
        <v>1.3802112417116059</v>
      </c>
      <c r="M171" s="2">
        <f t="shared" si="89"/>
        <v>1.9459607035775686</v>
      </c>
      <c r="N171" s="2">
        <v>1</v>
      </c>
      <c r="O171" s="12">
        <v>93.790909090909096</v>
      </c>
      <c r="P171" s="2">
        <v>11</v>
      </c>
      <c r="Q171" s="9" t="s">
        <v>305</v>
      </c>
      <c r="R171" s="9" t="s">
        <v>308</v>
      </c>
      <c r="S171" s="13">
        <v>8135</v>
      </c>
      <c r="T171" s="8">
        <v>6</v>
      </c>
      <c r="U171" s="9" t="s">
        <v>305</v>
      </c>
      <c r="V171" s="2" t="s">
        <v>396</v>
      </c>
      <c r="W171" s="2"/>
      <c r="X171" s="9">
        <f>AVERAGE(0.5,AVERAGE(5.6,14.6))</f>
        <v>5.3</v>
      </c>
      <c r="Y171" s="9">
        <f>AVERAGE(71.7, AVERAGE(66.8,79.8)+AVERAGE(4.6,9.8))</f>
        <v>76.099999999999994</v>
      </c>
      <c r="Z171" s="9"/>
      <c r="AA171" s="2">
        <f>Y171+Z171</f>
        <v>76.099999999999994</v>
      </c>
      <c r="AB171" s="9"/>
      <c r="AC171" s="9">
        <f>AVERAGE(0.5, 0.8)</f>
        <v>0.65</v>
      </c>
      <c r="AD171" s="2">
        <f>AB171+AC171</f>
        <v>0.65</v>
      </c>
      <c r="AE171" s="9">
        <f>AA171+AD171</f>
        <v>76.75</v>
      </c>
      <c r="AF171" s="9"/>
      <c r="AG171" s="9">
        <v>15.425000000000001</v>
      </c>
      <c r="AH171" s="9">
        <f>AVERAGE(27.3, AVERAGE(1.6,4.2))</f>
        <v>15.100000000000001</v>
      </c>
      <c r="AI171" s="9">
        <f>AVERAGE(0, 0.65)</f>
        <v>0.32500000000000001</v>
      </c>
      <c r="AJ171" s="2">
        <f>AG171</f>
        <v>15.425000000000001</v>
      </c>
      <c r="AK171" s="9">
        <v>2.5</v>
      </c>
      <c r="AL171" s="9">
        <f>SUM(X171+AA171+AD171+AF171+AG171+AK171)</f>
        <v>99.974999999999994</v>
      </c>
      <c r="AM171" s="9" t="s">
        <v>489</v>
      </c>
      <c r="AN171" s="9" t="s">
        <v>607</v>
      </c>
      <c r="AQ171" s="9">
        <v>24</v>
      </c>
      <c r="AR171" s="9" t="s">
        <v>916</v>
      </c>
      <c r="AS171" s="9">
        <v>24</v>
      </c>
      <c r="AT171" s="9" t="s">
        <v>901</v>
      </c>
      <c r="AU171" s="9"/>
      <c r="AV171" s="9"/>
      <c r="AW171" s="9"/>
      <c r="AX171" s="9">
        <v>88.3</v>
      </c>
      <c r="AY171" s="9" t="s">
        <v>1218</v>
      </c>
      <c r="AZ171" s="9" t="s">
        <v>901</v>
      </c>
      <c r="BA171" s="17"/>
      <c r="BB171" s="17"/>
      <c r="BC171" s="17"/>
      <c r="BD171" s="17"/>
      <c r="BE171" s="17"/>
      <c r="BF171" s="17"/>
      <c r="BG171" s="17"/>
    </row>
    <row r="172" spans="1:59">
      <c r="A172" s="2" t="s">
        <v>166</v>
      </c>
      <c r="B172" s="2" t="s">
        <v>166</v>
      </c>
      <c r="C172" s="2" t="s">
        <v>166</v>
      </c>
      <c r="D172" s="2" t="s">
        <v>271</v>
      </c>
      <c r="E172" s="2" t="s">
        <v>272</v>
      </c>
      <c r="F172" s="2">
        <v>1</v>
      </c>
      <c r="G172" s="2">
        <f t="shared" si="87"/>
        <v>2.1244274992196979</v>
      </c>
      <c r="H172" s="2">
        <f t="shared" si="76"/>
        <v>3.9294189257142929</v>
      </c>
      <c r="I172" s="2">
        <f t="shared" si="90"/>
        <v>1.414973347970818</v>
      </c>
      <c r="J172" s="2">
        <f t="shared" si="90"/>
        <v>1.7634279935629373</v>
      </c>
      <c r="K172" s="2">
        <f>LOG(AG172)</f>
        <v>1.2041199826559248</v>
      </c>
      <c r="L172" s="2">
        <f t="shared" si="88"/>
        <v>1.7626785637274363</v>
      </c>
      <c r="M172" s="2">
        <f t="shared" si="89"/>
        <v>3.6532125137753435</v>
      </c>
      <c r="N172" s="2">
        <v>1</v>
      </c>
      <c r="O172" s="12">
        <v>133.17646999999999</v>
      </c>
      <c r="P172" s="2">
        <v>10</v>
      </c>
      <c r="Q172" s="9" t="s">
        <v>305</v>
      </c>
      <c r="R172" s="9" t="s">
        <v>308</v>
      </c>
      <c r="S172" s="8">
        <v>8500</v>
      </c>
      <c r="T172" s="8">
        <v>12</v>
      </c>
      <c r="U172" s="9" t="s">
        <v>305</v>
      </c>
      <c r="V172" s="2" t="s">
        <v>397</v>
      </c>
      <c r="W172" s="2"/>
      <c r="X172" s="2">
        <v>26</v>
      </c>
      <c r="Y172" s="2">
        <v>58</v>
      </c>
      <c r="AA172" s="2">
        <f>Y172+Z172</f>
        <v>58</v>
      </c>
      <c r="AD172" s="2">
        <f>AB172+AC172</f>
        <v>0</v>
      </c>
      <c r="AE172" s="9">
        <f>AA172+AD172</f>
        <v>58</v>
      </c>
      <c r="AG172" s="2">
        <v>16</v>
      </c>
      <c r="AJ172" s="2">
        <f>AG172</f>
        <v>16</v>
      </c>
      <c r="AK172" s="2">
        <v>0</v>
      </c>
      <c r="AL172" s="9">
        <f>X172+Y172+AJ172+AK172</f>
        <v>100</v>
      </c>
      <c r="AM172" s="2" t="s">
        <v>517</v>
      </c>
      <c r="AN172" s="2" t="s">
        <v>608</v>
      </c>
      <c r="AQ172" s="2">
        <f>AVERAGE(52.3, 63.5)</f>
        <v>57.9</v>
      </c>
      <c r="AR172" s="2" t="s">
        <v>917</v>
      </c>
      <c r="AS172" s="2">
        <v>57.9</v>
      </c>
      <c r="AT172" s="9" t="s">
        <v>918</v>
      </c>
      <c r="AU172" s="9"/>
      <c r="AX172" s="2">
        <v>4500</v>
      </c>
      <c r="AY172" s="9" t="s">
        <v>1219</v>
      </c>
      <c r="AZ172" s="9" t="s">
        <v>1196</v>
      </c>
      <c r="BA172" s="16"/>
      <c r="BB172" s="16"/>
      <c r="BC172" s="16"/>
      <c r="BD172" s="16"/>
      <c r="BE172" s="16"/>
      <c r="BF172" s="17"/>
      <c r="BG172" s="16"/>
    </row>
    <row r="173" spans="1:59">
      <c r="A173" s="2" t="s">
        <v>167</v>
      </c>
      <c r="B173" s="2" t="s">
        <v>167</v>
      </c>
      <c r="C173" s="2" t="s">
        <v>167</v>
      </c>
      <c r="D173" s="2" t="s">
        <v>271</v>
      </c>
      <c r="E173" s="2" t="s">
        <v>272</v>
      </c>
      <c r="F173" s="2">
        <v>1</v>
      </c>
      <c r="G173" s="2">
        <f t="shared" si="87"/>
        <v>2.134883616302508</v>
      </c>
      <c r="H173" s="2">
        <f t="shared" si="76"/>
        <v>3.9521625742144626</v>
      </c>
      <c r="I173" s="2">
        <f t="shared" si="90"/>
        <v>0.76591679396663193</v>
      </c>
      <c r="J173" s="2">
        <f t="shared" si="90"/>
        <v>1.6693168805661123</v>
      </c>
      <c r="K173" s="2">
        <f>LOG(AG173)</f>
        <v>0.74298683332039273</v>
      </c>
      <c r="L173" s="2">
        <f t="shared" si="88"/>
        <v>2.3324384599156054</v>
      </c>
      <c r="M173" s="2">
        <f t="shared" si="89"/>
        <v>3.4771212547196626</v>
      </c>
      <c r="N173" s="2">
        <v>1</v>
      </c>
      <c r="O173" s="12">
        <v>136.42175</v>
      </c>
      <c r="P173" s="2">
        <v>8</v>
      </c>
      <c r="Q173" s="9" t="s">
        <v>305</v>
      </c>
      <c r="R173" s="9" t="s">
        <v>308</v>
      </c>
      <c r="S173" s="8">
        <v>8957</v>
      </c>
      <c r="T173" s="8">
        <v>7</v>
      </c>
      <c r="U173" s="9" t="s">
        <v>305</v>
      </c>
      <c r="V173" s="15" t="s">
        <v>398</v>
      </c>
      <c r="W173" s="9"/>
      <c r="X173" s="9">
        <f>AVERAGE(5,7.6,4.9)</f>
        <v>5.833333333333333</v>
      </c>
      <c r="Y173" s="9">
        <v>46.7</v>
      </c>
      <c r="Z173" s="9">
        <v>34.4</v>
      </c>
      <c r="AA173" s="9">
        <f>AVERAGE(84.2,88,80.1)</f>
        <v>84.1</v>
      </c>
      <c r="AB173" s="9"/>
      <c r="AC173" s="9">
        <v>0.8</v>
      </c>
      <c r="AD173" s="2">
        <f>AB173+AC173</f>
        <v>0.8</v>
      </c>
      <c r="AE173" s="9">
        <f>AA173+AD173</f>
        <v>84.899999999999991</v>
      </c>
      <c r="AF173" s="9"/>
      <c r="AG173" s="9">
        <v>5.5333333333333341</v>
      </c>
      <c r="AH173" s="9"/>
      <c r="AI173" s="9"/>
      <c r="AJ173" s="2">
        <f>AG173</f>
        <v>5.5333333333333341</v>
      </c>
      <c r="AK173" s="9">
        <v>3.7</v>
      </c>
      <c r="AL173" s="9">
        <f>X173+AA173+AD173+AJ173+AK173</f>
        <v>99.966666666666654</v>
      </c>
      <c r="AM173" s="9" t="s">
        <v>489</v>
      </c>
      <c r="AN173" s="9" t="s">
        <v>609</v>
      </c>
      <c r="AO173" s="9"/>
      <c r="AP173" s="9" t="s">
        <v>919</v>
      </c>
      <c r="AQ173" s="9">
        <v>215</v>
      </c>
      <c r="AR173" s="9" t="s">
        <v>920</v>
      </c>
      <c r="AS173" s="9">
        <v>215</v>
      </c>
      <c r="AT173" s="9" t="s">
        <v>921</v>
      </c>
      <c r="AU173" s="9">
        <v>3263</v>
      </c>
      <c r="AV173" s="9"/>
      <c r="AW173" s="9"/>
      <c r="AX173" s="9">
        <v>3000</v>
      </c>
      <c r="AY173" s="9" t="s">
        <v>1220</v>
      </c>
      <c r="AZ173" s="9" t="s">
        <v>1196</v>
      </c>
      <c r="BA173" s="17"/>
      <c r="BB173" s="17"/>
      <c r="BC173" s="17"/>
      <c r="BD173" s="17"/>
      <c r="BE173" s="17"/>
      <c r="BF173" s="17"/>
      <c r="BG173" s="17"/>
    </row>
    <row r="174" spans="1:59">
      <c r="A174" s="2" t="s">
        <v>1356</v>
      </c>
      <c r="B174" s="2" t="s">
        <v>1406</v>
      </c>
      <c r="C174" s="2" t="s">
        <v>168</v>
      </c>
      <c r="E174" s="2" t="s">
        <v>281</v>
      </c>
      <c r="F174" s="2">
        <v>0</v>
      </c>
      <c r="G174" s="2">
        <f t="shared" si="87"/>
        <v>0.88959066715475876</v>
      </c>
      <c r="H174" s="2">
        <f t="shared" si="76"/>
        <v>2.537819095073274</v>
      </c>
      <c r="I174" s="2">
        <f t="shared" si="90"/>
        <v>0.97335879988639762</v>
      </c>
      <c r="J174" s="2">
        <f t="shared" si="90"/>
        <v>1.5402981844358832</v>
      </c>
      <c r="L174" s="2">
        <f t="shared" si="88"/>
        <v>0.90308998699194354</v>
      </c>
      <c r="M174" s="2">
        <f t="shared" si="89"/>
        <v>1.1205739312058498</v>
      </c>
      <c r="N174" s="2">
        <v>1</v>
      </c>
      <c r="O174" s="12">
        <v>7.755158299999998</v>
      </c>
      <c r="P174" s="2">
        <v>20</v>
      </c>
      <c r="Q174" s="2" t="s">
        <v>316</v>
      </c>
      <c r="R174" s="9" t="s">
        <v>308</v>
      </c>
      <c r="S174" s="13">
        <v>345</v>
      </c>
      <c r="T174" s="8">
        <v>18</v>
      </c>
      <c r="U174" s="9" t="s">
        <v>316</v>
      </c>
      <c r="V174" s="2" t="s">
        <v>306</v>
      </c>
      <c r="W174" s="2"/>
      <c r="X174" s="9">
        <f>AVERAGE(10.13,4.43,18.06,5)</f>
        <v>9.4049999999999994</v>
      </c>
      <c r="Y174" s="9">
        <f>AVERAGE(53.65, 32.08,18.06,35)</f>
        <v>34.697499999999998</v>
      </c>
      <c r="Z174" s="9"/>
      <c r="AA174" s="2">
        <f>SUM(Y174:Z174)</f>
        <v>34.697499999999998</v>
      </c>
      <c r="AB174" s="9">
        <v>1</v>
      </c>
      <c r="AC174" s="9"/>
      <c r="AD174" s="9">
        <f>SUM(AB174:AC174)</f>
        <v>1</v>
      </c>
      <c r="AE174" s="9">
        <f>AA174+AD174</f>
        <v>35.697499999999998</v>
      </c>
      <c r="AF174" s="9">
        <f>AVERAGE(31.13,44.33,63.3,59)</f>
        <v>49.44</v>
      </c>
      <c r="AG174" s="9">
        <v>0</v>
      </c>
      <c r="AH174" s="9">
        <v>0</v>
      </c>
      <c r="AI174" s="9">
        <v>0</v>
      </c>
      <c r="AJ174" s="9">
        <f>AG174</f>
        <v>0</v>
      </c>
      <c r="AK174" s="9">
        <v>5.5</v>
      </c>
      <c r="AL174" s="9">
        <f>SUM(X174+AE174+AF174+AG174+AK174)</f>
        <v>100.04249999999999</v>
      </c>
      <c r="AM174" s="9" t="s">
        <v>482</v>
      </c>
      <c r="AN174" s="9" t="s">
        <v>610</v>
      </c>
      <c r="AO174" s="9"/>
      <c r="AP174" s="9"/>
      <c r="AQ174" s="9">
        <v>8</v>
      </c>
      <c r="AR174" s="9" t="s">
        <v>922</v>
      </c>
      <c r="AS174" s="9">
        <v>8</v>
      </c>
      <c r="AT174" s="9" t="s">
        <v>612</v>
      </c>
      <c r="AU174" s="9">
        <v>1042</v>
      </c>
      <c r="AV174" s="9"/>
      <c r="AW174" s="9"/>
      <c r="AX174" s="9">
        <v>13.2</v>
      </c>
      <c r="AY174" s="9" t="s">
        <v>1221</v>
      </c>
      <c r="AZ174" s="9" t="s">
        <v>755</v>
      </c>
      <c r="BA174" s="17"/>
      <c r="BB174" s="17"/>
      <c r="BC174" s="17"/>
      <c r="BD174" s="17"/>
      <c r="BE174" s="17"/>
      <c r="BF174" s="16"/>
      <c r="BG174" s="17"/>
    </row>
    <row r="175" spans="1:59">
      <c r="A175" s="2" t="s">
        <v>1357</v>
      </c>
      <c r="B175" s="2" t="s">
        <v>1407</v>
      </c>
      <c r="C175" s="2" t="s">
        <v>169</v>
      </c>
      <c r="E175" s="2" t="s">
        <v>281</v>
      </c>
      <c r="F175" s="2">
        <v>0</v>
      </c>
      <c r="G175" s="2">
        <f t="shared" si="87"/>
        <v>0.92302185417054039</v>
      </c>
      <c r="H175" s="2">
        <f t="shared" si="76"/>
        <v>2.568201724066995</v>
      </c>
      <c r="L175" s="2">
        <f t="shared" si="88"/>
        <v>1.0606978403536116</v>
      </c>
      <c r="M175" s="2">
        <f t="shared" si="89"/>
        <v>1.4502491083193612</v>
      </c>
      <c r="N175" s="2">
        <v>1</v>
      </c>
      <c r="O175" s="12">
        <v>8.3757142857142846</v>
      </c>
      <c r="P175" s="2">
        <v>21</v>
      </c>
      <c r="Q175" s="2" t="s">
        <v>316</v>
      </c>
      <c r="R175" s="9" t="s">
        <v>308</v>
      </c>
      <c r="S175" s="10">
        <v>370</v>
      </c>
      <c r="T175" s="10">
        <v>9</v>
      </c>
      <c r="U175" s="9" t="s">
        <v>316</v>
      </c>
      <c r="V175" s="2" t="s">
        <v>306</v>
      </c>
      <c r="W175" s="2"/>
      <c r="AA175" s="2">
        <f>AVERAGE(29,23)</f>
        <v>26</v>
      </c>
      <c r="AQ175" s="9">
        <v>11.5</v>
      </c>
      <c r="AR175" s="9" t="s">
        <v>923</v>
      </c>
      <c r="AS175" s="9">
        <v>11.5</v>
      </c>
      <c r="AT175" s="2" t="s">
        <v>924</v>
      </c>
      <c r="AU175" s="2">
        <f>AVERAGE(1200, 1774)</f>
        <v>1487</v>
      </c>
      <c r="AX175" s="2">
        <v>28.2</v>
      </c>
      <c r="AZ175" s="2" t="s">
        <v>612</v>
      </c>
      <c r="BA175" s="16"/>
      <c r="BB175" s="16"/>
      <c r="BC175" s="16"/>
      <c r="BD175" s="16"/>
      <c r="BE175" s="16"/>
      <c r="BF175" s="16"/>
      <c r="BG175" s="16"/>
    </row>
    <row r="176" spans="1:59">
      <c r="A176" s="2" t="s">
        <v>1358</v>
      </c>
      <c r="E176" s="2" t="s">
        <v>281</v>
      </c>
      <c r="F176" s="2">
        <v>0</v>
      </c>
      <c r="I176" s="2">
        <f>LOG(X176)</f>
        <v>1.469822015978163</v>
      </c>
      <c r="J176" s="2">
        <f>LOG(Y176)</f>
        <v>1.6242820958356683</v>
      </c>
      <c r="N176" s="2">
        <v>1</v>
      </c>
      <c r="Q176" s="2"/>
      <c r="R176" s="2"/>
      <c r="S176" s="10"/>
      <c r="T176" s="10"/>
      <c r="U176" s="2"/>
      <c r="V176" s="2"/>
      <c r="W176" s="2"/>
      <c r="X176" s="2">
        <v>29.5</v>
      </c>
      <c r="Y176" s="2">
        <v>42.1</v>
      </c>
      <c r="AA176" s="2">
        <f>Y176+Z176</f>
        <v>42.1</v>
      </c>
      <c r="AD176" s="2">
        <f>0.12*70</f>
        <v>8.4</v>
      </c>
      <c r="AE176" s="9">
        <f>AA176+AD176</f>
        <v>50.5</v>
      </c>
      <c r="AF176" s="2">
        <v>20</v>
      </c>
      <c r="AG176" s="2">
        <v>0</v>
      </c>
      <c r="AJ176" s="2">
        <v>0</v>
      </c>
      <c r="AK176" s="2">
        <v>0</v>
      </c>
      <c r="AL176" s="9">
        <f>SUM(X176+AE176+AF176+AG176+AK176)</f>
        <v>100</v>
      </c>
      <c r="AM176" s="2" t="s">
        <v>611</v>
      </c>
      <c r="AN176" s="2" t="s">
        <v>612</v>
      </c>
      <c r="BA176" s="16"/>
      <c r="BB176" s="16"/>
      <c r="BC176" s="16"/>
      <c r="BD176" s="16"/>
      <c r="BE176" s="16"/>
      <c r="BF176" s="16"/>
      <c r="BG176" s="16"/>
    </row>
    <row r="177" spans="1:59">
      <c r="A177" s="2" t="s">
        <v>1359</v>
      </c>
      <c r="E177" s="2" t="s">
        <v>281</v>
      </c>
      <c r="F177" s="2">
        <v>0</v>
      </c>
      <c r="L177" s="2">
        <f>LOG(AS177)</f>
        <v>0.79239168949825389</v>
      </c>
      <c r="N177" s="2">
        <v>1</v>
      </c>
      <c r="Q177" s="2"/>
      <c r="R177" s="2"/>
      <c r="S177" s="10"/>
      <c r="T177" s="10"/>
      <c r="U177" s="2"/>
      <c r="V177" s="2"/>
      <c r="W177" s="2"/>
      <c r="AR177" s="22" t="s">
        <v>703</v>
      </c>
      <c r="AS177" s="2">
        <v>6.2</v>
      </c>
      <c r="AT177" s="2" t="s">
        <v>612</v>
      </c>
      <c r="BA177" s="16"/>
      <c r="BB177" s="16"/>
      <c r="BC177" s="16"/>
      <c r="BD177" s="16"/>
      <c r="BE177" s="16"/>
      <c r="BF177" s="16"/>
      <c r="BG177" s="16"/>
    </row>
    <row r="178" spans="1:59">
      <c r="A178" s="2" t="s">
        <v>170</v>
      </c>
      <c r="B178" s="2" t="s">
        <v>170</v>
      </c>
      <c r="C178" s="2" t="s">
        <v>170</v>
      </c>
      <c r="E178" s="2" t="s">
        <v>273</v>
      </c>
      <c r="F178" s="2">
        <v>0</v>
      </c>
      <c r="L178" s="2">
        <f>LOG(AS178)</f>
        <v>0.43933269383026263</v>
      </c>
      <c r="M178" s="2">
        <f>LOG(AX178)</f>
        <v>0.6020599913279624</v>
      </c>
      <c r="N178" s="2">
        <v>0</v>
      </c>
      <c r="Q178" s="2"/>
      <c r="R178" s="2"/>
      <c r="U178" s="2"/>
      <c r="V178" s="2"/>
      <c r="W178" s="2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2">
        <v>2.75</v>
      </c>
      <c r="AP178" s="2" t="s">
        <v>698</v>
      </c>
      <c r="AQ178" s="9"/>
      <c r="AR178" s="9"/>
      <c r="AS178" s="9">
        <v>2.75</v>
      </c>
      <c r="AT178" s="9" t="s">
        <v>795</v>
      </c>
      <c r="AU178" s="9"/>
      <c r="AX178" s="9">
        <v>4</v>
      </c>
      <c r="AY178" s="9"/>
      <c r="AZ178" s="9" t="s">
        <v>795</v>
      </c>
      <c r="BA178" s="17"/>
      <c r="BB178" s="17"/>
      <c r="BC178" s="17"/>
      <c r="BD178" s="17"/>
      <c r="BE178" s="17"/>
      <c r="BF178" s="17"/>
      <c r="BG178" s="17"/>
    </row>
    <row r="179" spans="1:59">
      <c r="A179" s="2" t="s">
        <v>1375</v>
      </c>
      <c r="E179" s="2" t="s">
        <v>273</v>
      </c>
      <c r="F179" s="2">
        <v>0</v>
      </c>
      <c r="L179" s="2">
        <f>LOG(AS179)</f>
        <v>0</v>
      </c>
      <c r="M179" s="2">
        <f>LOG(AX179)</f>
        <v>0.56820172406699498</v>
      </c>
      <c r="N179" s="2">
        <v>0</v>
      </c>
      <c r="O179" s="9"/>
      <c r="P179" s="14"/>
      <c r="Q179" s="2"/>
      <c r="R179" s="9"/>
      <c r="S179" s="13"/>
      <c r="T179" s="8"/>
      <c r="U179" s="9"/>
      <c r="V179" s="2"/>
      <c r="W179" s="2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2">
        <v>1</v>
      </c>
      <c r="AP179" s="2" t="s">
        <v>925</v>
      </c>
      <c r="AQ179" s="9">
        <v>1</v>
      </c>
      <c r="AR179" s="9"/>
      <c r="AS179" s="9">
        <v>1</v>
      </c>
      <c r="AT179" s="2" t="s">
        <v>612</v>
      </c>
      <c r="AU179" s="9">
        <f>AVERAGE(4470,3190)</f>
        <v>3830</v>
      </c>
      <c r="AV179" s="2">
        <v>4.9000000000000004</v>
      </c>
      <c r="AW179" s="2">
        <v>2.5</v>
      </c>
      <c r="AX179" s="9">
        <f>AVERAGE(AV179:AW179)</f>
        <v>3.7</v>
      </c>
      <c r="AY179" s="9"/>
      <c r="AZ179" s="9" t="s">
        <v>925</v>
      </c>
      <c r="BA179" s="17"/>
      <c r="BB179" s="17"/>
      <c r="BC179" s="17"/>
      <c r="BD179" s="17"/>
      <c r="BE179" s="17"/>
      <c r="BF179" s="17"/>
      <c r="BG179" s="17"/>
    </row>
    <row r="180" spans="1:59">
      <c r="A180" s="2" t="s">
        <v>171</v>
      </c>
      <c r="C180" s="2" t="s">
        <v>171</v>
      </c>
      <c r="E180" s="2" t="s">
        <v>273</v>
      </c>
      <c r="F180" s="2">
        <v>0</v>
      </c>
      <c r="I180" s="2">
        <f>LOG(X180)</f>
        <v>0.77815125038364363</v>
      </c>
      <c r="J180" s="2">
        <f>LOG(Y180)</f>
        <v>1.255272505103306</v>
      </c>
      <c r="M180" s="2">
        <f>LOG(AX180)</f>
        <v>-0.35654732351381258</v>
      </c>
      <c r="N180" s="2">
        <v>0</v>
      </c>
      <c r="O180" s="9"/>
      <c r="P180" s="14"/>
      <c r="Q180" s="2"/>
      <c r="R180" s="9"/>
      <c r="S180" s="13"/>
      <c r="T180" s="8"/>
      <c r="U180" s="9"/>
      <c r="V180" s="2"/>
      <c r="W180" s="2"/>
      <c r="X180" s="9">
        <v>6</v>
      </c>
      <c r="Y180" s="9">
        <v>18</v>
      </c>
      <c r="Z180" s="9"/>
      <c r="AA180" s="9">
        <f>SUM(Y180+Z180)</f>
        <v>18</v>
      </c>
      <c r="AB180" s="9"/>
      <c r="AC180" s="9">
        <v>3</v>
      </c>
      <c r="AD180" s="9">
        <f>SUM(AB180+AC180)</f>
        <v>3</v>
      </c>
      <c r="AE180" s="9"/>
      <c r="AF180" s="9">
        <v>72</v>
      </c>
      <c r="AG180" s="9">
        <v>0</v>
      </c>
      <c r="AH180" s="9"/>
      <c r="AI180" s="9"/>
      <c r="AJ180" s="2">
        <f>AG180</f>
        <v>0</v>
      </c>
      <c r="AK180" s="9">
        <v>1</v>
      </c>
      <c r="AL180" s="9">
        <f>X180+AA180+AD180+AF180+AG180+AK180</f>
        <v>100</v>
      </c>
      <c r="AM180" s="9" t="s">
        <v>517</v>
      </c>
      <c r="AN180" s="9" t="s">
        <v>613</v>
      </c>
      <c r="AP180" s="2" t="s">
        <v>926</v>
      </c>
      <c r="AQ180" s="9">
        <v>1</v>
      </c>
      <c r="AR180" s="9"/>
      <c r="AS180" s="9"/>
      <c r="AT180" s="2" t="s">
        <v>926</v>
      </c>
      <c r="AU180" s="9"/>
      <c r="AX180" s="9">
        <v>0.44</v>
      </c>
      <c r="AY180" s="9" t="s">
        <v>1222</v>
      </c>
      <c r="AZ180" s="9" t="s">
        <v>925</v>
      </c>
      <c r="BA180" s="17"/>
      <c r="BB180" s="17"/>
      <c r="BC180" s="17"/>
      <c r="BD180" s="17"/>
      <c r="BE180" s="17"/>
      <c r="BF180" s="17"/>
      <c r="BG180" s="17"/>
    </row>
    <row r="181" spans="1:59">
      <c r="A181" s="2" t="s">
        <v>172</v>
      </c>
      <c r="B181" s="2" t="s">
        <v>172</v>
      </c>
      <c r="C181" s="2" t="s">
        <v>172</v>
      </c>
      <c r="E181" s="2" t="s">
        <v>273</v>
      </c>
      <c r="F181" s="2">
        <v>0</v>
      </c>
      <c r="G181" s="2">
        <f>LOG(O181)</f>
        <v>0.20537542621519914</v>
      </c>
      <c r="H181" s="2">
        <f t="shared" si="76"/>
        <v>1.8135809885681919</v>
      </c>
      <c r="I181" s="2">
        <f>LOG(X181)</f>
        <v>1.3283796034387378</v>
      </c>
      <c r="J181" s="2">
        <f>LOG(Y181)</f>
        <v>0.75587485567249146</v>
      </c>
      <c r="M181" s="2">
        <f>LOG(AX181)</f>
        <v>0.3979400086720376</v>
      </c>
      <c r="N181" s="2">
        <v>0</v>
      </c>
      <c r="O181" s="12">
        <v>1.6046319166666665</v>
      </c>
      <c r="P181" s="2">
        <v>48</v>
      </c>
      <c r="Q181" s="2" t="s">
        <v>316</v>
      </c>
      <c r="R181" s="9" t="s">
        <v>308</v>
      </c>
      <c r="S181" s="13">
        <v>65.099999999999994</v>
      </c>
      <c r="T181" s="8">
        <v>247</v>
      </c>
      <c r="U181" s="9" t="s">
        <v>316</v>
      </c>
      <c r="V181" s="2" t="s">
        <v>306</v>
      </c>
      <c r="W181" s="2"/>
      <c r="X181" s="9">
        <v>21.3</v>
      </c>
      <c r="Y181" s="9">
        <v>5.7</v>
      </c>
      <c r="Z181" s="9"/>
      <c r="AA181" s="9">
        <v>5.7</v>
      </c>
      <c r="AB181" s="9"/>
      <c r="AC181" s="9"/>
      <c r="AD181" s="9">
        <v>0</v>
      </c>
      <c r="AE181" s="9"/>
      <c r="AF181" s="9">
        <v>73</v>
      </c>
      <c r="AG181" s="9">
        <v>0</v>
      </c>
      <c r="AH181" s="9"/>
      <c r="AI181" s="9"/>
      <c r="AJ181" s="2">
        <f>AG181</f>
        <v>0</v>
      </c>
      <c r="AK181" s="9">
        <v>0</v>
      </c>
      <c r="AL181" s="9">
        <f>X181+AA181+AD181+AJ181+AK181+AF181</f>
        <v>100</v>
      </c>
      <c r="AM181" s="9"/>
      <c r="AN181" s="9" t="s">
        <v>614</v>
      </c>
      <c r="AP181" s="2" t="s">
        <v>927</v>
      </c>
      <c r="AQ181" s="9">
        <v>1</v>
      </c>
      <c r="AR181" s="9"/>
      <c r="AS181" s="9"/>
      <c r="AT181" s="9" t="s">
        <v>928</v>
      </c>
      <c r="AU181" s="9"/>
      <c r="AV181" s="9">
        <v>3.2</v>
      </c>
      <c r="AW181" s="9">
        <v>1.8</v>
      </c>
      <c r="AX181" s="9">
        <v>2.5</v>
      </c>
      <c r="AY181" s="9"/>
      <c r="AZ181" s="9" t="s">
        <v>1223</v>
      </c>
      <c r="BA181" s="17"/>
      <c r="BB181" s="17"/>
      <c r="BC181" s="17"/>
      <c r="BD181" s="17"/>
      <c r="BE181" s="17"/>
      <c r="BF181" s="17"/>
      <c r="BG181" s="17"/>
    </row>
    <row r="182" spans="1:59">
      <c r="A182" s="2" t="s">
        <v>173</v>
      </c>
      <c r="B182" s="2" t="s">
        <v>173</v>
      </c>
      <c r="C182" s="2" t="s">
        <v>173</v>
      </c>
      <c r="E182" s="2" t="s">
        <v>273</v>
      </c>
      <c r="F182" s="2">
        <v>0</v>
      </c>
      <c r="G182" s="2">
        <f>LOG(O182)</f>
        <v>0.21092604390310596</v>
      </c>
      <c r="H182" s="2">
        <f t="shared" si="76"/>
        <v>1.6334684555795864</v>
      </c>
      <c r="N182" s="2">
        <v>0</v>
      </c>
      <c r="O182" s="12">
        <v>1.6252719642857139</v>
      </c>
      <c r="P182" s="2">
        <v>28</v>
      </c>
      <c r="Q182" s="2" t="s">
        <v>316</v>
      </c>
      <c r="R182" s="9" t="s">
        <v>308</v>
      </c>
      <c r="S182" s="13">
        <v>43</v>
      </c>
      <c r="T182" s="8">
        <v>87</v>
      </c>
      <c r="U182" s="9" t="s">
        <v>316</v>
      </c>
      <c r="V182" s="2" t="s">
        <v>306</v>
      </c>
      <c r="W182" s="2" t="s">
        <v>399</v>
      </c>
      <c r="X182" s="12"/>
      <c r="Y182" s="12"/>
      <c r="AL182" s="9"/>
      <c r="AM182" s="9"/>
      <c r="AN182" s="2" t="s">
        <v>615</v>
      </c>
      <c r="AQ182" s="2">
        <v>1</v>
      </c>
      <c r="AT182" s="2" t="s">
        <v>612</v>
      </c>
      <c r="BA182" s="16"/>
      <c r="BB182" s="16"/>
      <c r="BC182" s="16"/>
      <c r="BD182" s="16"/>
      <c r="BE182" s="16"/>
      <c r="BF182" s="16"/>
      <c r="BG182" s="16"/>
    </row>
    <row r="183" spans="1:59">
      <c r="A183" s="2" t="s">
        <v>174</v>
      </c>
      <c r="B183" s="2" t="s">
        <v>174</v>
      </c>
      <c r="C183" s="2" t="s">
        <v>174</v>
      </c>
      <c r="D183" s="2" t="s">
        <v>271</v>
      </c>
      <c r="E183" s="2" t="s">
        <v>272</v>
      </c>
      <c r="F183" s="2">
        <v>0</v>
      </c>
      <c r="G183" s="2">
        <f>LOG(O183)</f>
        <v>1.5410736986365607</v>
      </c>
      <c r="H183" s="2">
        <f t="shared" si="76"/>
        <v>3.1931245983544616</v>
      </c>
      <c r="I183" s="2">
        <f>LOG(X183)</f>
        <v>1.5440680443502757</v>
      </c>
      <c r="J183" s="2">
        <f>LOG(Y183)</f>
        <v>1.6334684555795864</v>
      </c>
      <c r="K183" s="2">
        <f>LOG(AG183)</f>
        <v>0.69897000433601886</v>
      </c>
      <c r="L183" s="2">
        <f t="shared" ref="L183:L191" si="91">LOG(AS183)</f>
        <v>1.9382694834629113</v>
      </c>
      <c r="M183" s="2">
        <f>LOG(AX183)</f>
        <v>2.0849335749367159</v>
      </c>
      <c r="N183" s="2">
        <v>1</v>
      </c>
      <c r="O183" s="12">
        <v>34.759514242424238</v>
      </c>
      <c r="P183" s="2">
        <v>11</v>
      </c>
      <c r="Q183" s="9" t="s">
        <v>305</v>
      </c>
      <c r="R183" s="9" t="s">
        <v>306</v>
      </c>
      <c r="S183" s="13">
        <v>1560</v>
      </c>
      <c r="T183" s="8">
        <v>11</v>
      </c>
      <c r="U183" s="9" t="s">
        <v>305</v>
      </c>
      <c r="V183" s="2" t="s">
        <v>306</v>
      </c>
      <c r="W183" s="2"/>
      <c r="X183" s="9">
        <v>35</v>
      </c>
      <c r="Y183" s="9">
        <v>43</v>
      </c>
      <c r="Z183" s="9"/>
      <c r="AA183" s="2">
        <f>Y183+Z183</f>
        <v>43</v>
      </c>
      <c r="AB183" s="9"/>
      <c r="AC183" s="9">
        <v>2</v>
      </c>
      <c r="AD183" s="2">
        <f>AB183+AC183</f>
        <v>2</v>
      </c>
      <c r="AE183" s="9">
        <f>AA183+AD183</f>
        <v>45</v>
      </c>
      <c r="AF183" s="9"/>
      <c r="AG183" s="9">
        <v>5</v>
      </c>
      <c r="AH183" s="9"/>
      <c r="AI183" s="9"/>
      <c r="AJ183" s="2">
        <f>AG183</f>
        <v>5</v>
      </c>
      <c r="AK183" s="9">
        <v>15</v>
      </c>
      <c r="AL183" s="9">
        <f>SUM(X183+AA183+AD183+AF183+AG183+AK183)</f>
        <v>100</v>
      </c>
      <c r="AM183" s="9" t="s">
        <v>460</v>
      </c>
      <c r="AN183" s="9" t="s">
        <v>616</v>
      </c>
      <c r="AQ183" s="9">
        <f>AVERAGE(80,66.5,112,82,115,65)</f>
        <v>86.75</v>
      </c>
      <c r="AR183" s="9" t="s">
        <v>929</v>
      </c>
      <c r="AS183" s="9">
        <v>86.75</v>
      </c>
      <c r="AT183" s="9" t="s">
        <v>930</v>
      </c>
      <c r="AU183" s="9">
        <v>2323</v>
      </c>
      <c r="AX183" s="9">
        <v>121.6</v>
      </c>
      <c r="AY183" s="9" t="s">
        <v>1224</v>
      </c>
      <c r="AZ183" s="9" t="s">
        <v>1225</v>
      </c>
      <c r="BA183" s="17"/>
      <c r="BB183" s="17"/>
      <c r="BC183" s="17"/>
      <c r="BD183" s="17"/>
      <c r="BE183" s="16"/>
      <c r="BF183" s="17"/>
      <c r="BG183" s="16"/>
    </row>
    <row r="184" spans="1:59">
      <c r="A184" s="2" t="s">
        <v>175</v>
      </c>
      <c r="B184" s="2" t="s">
        <v>175</v>
      </c>
      <c r="C184" s="2" t="s">
        <v>175</v>
      </c>
      <c r="E184" s="2" t="s">
        <v>273</v>
      </c>
      <c r="F184" s="2">
        <v>0</v>
      </c>
      <c r="G184" s="2">
        <f>LOG(O184)</f>
        <v>0.76243098282002086</v>
      </c>
      <c r="H184" s="2">
        <f t="shared" si="76"/>
        <v>2.4934580509951885</v>
      </c>
      <c r="I184" s="2">
        <f>LOG(X184)</f>
        <v>0.3010299956639812</v>
      </c>
      <c r="J184" s="2">
        <f>LOG(Y184)</f>
        <v>1.4771212547196624</v>
      </c>
      <c r="K184" s="2">
        <f>LOG(AG184)</f>
        <v>1.5797835966168101</v>
      </c>
      <c r="L184" s="2">
        <f t="shared" si="91"/>
        <v>0</v>
      </c>
      <c r="M184" s="2">
        <f>LOG(AX184)</f>
        <v>0.54406804435027567</v>
      </c>
      <c r="N184" s="2">
        <v>0</v>
      </c>
      <c r="O184" s="12">
        <v>5.7867002000000003</v>
      </c>
      <c r="P184" s="2">
        <v>10</v>
      </c>
      <c r="Q184" s="2" t="s">
        <v>316</v>
      </c>
      <c r="R184" s="9" t="s">
        <v>308</v>
      </c>
      <c r="S184" s="13">
        <v>311.5</v>
      </c>
      <c r="T184" s="8">
        <v>168</v>
      </c>
      <c r="U184" s="9" t="s">
        <v>316</v>
      </c>
      <c r="V184" s="2" t="s">
        <v>306</v>
      </c>
      <c r="W184" s="2"/>
      <c r="X184" s="2">
        <v>2</v>
      </c>
      <c r="Y184" s="2">
        <v>30</v>
      </c>
      <c r="Z184" s="2">
        <v>15</v>
      </c>
      <c r="AA184" s="2">
        <f>Y184+Z184</f>
        <v>45</v>
      </c>
      <c r="AC184" s="2">
        <v>15</v>
      </c>
      <c r="AD184" s="2">
        <f>AB184+AC184</f>
        <v>15</v>
      </c>
      <c r="AE184" s="9">
        <f>AA184+AD184</f>
        <v>60</v>
      </c>
      <c r="AG184" s="2">
        <v>38</v>
      </c>
      <c r="AH184" s="2">
        <v>33</v>
      </c>
      <c r="AI184" s="2">
        <v>5</v>
      </c>
      <c r="AJ184" s="2">
        <f>AG184</f>
        <v>38</v>
      </c>
      <c r="AK184" s="2">
        <v>0</v>
      </c>
      <c r="AL184" s="9">
        <f>SUM(X184+AA184+AD184+AF184+AG184+AK184)</f>
        <v>100</v>
      </c>
      <c r="AM184" s="2" t="s">
        <v>460</v>
      </c>
      <c r="AN184" s="9" t="s">
        <v>617</v>
      </c>
      <c r="AO184" s="2">
        <v>1</v>
      </c>
      <c r="AP184" s="2" t="s">
        <v>931</v>
      </c>
      <c r="AQ184" s="2">
        <v>1</v>
      </c>
      <c r="AS184" s="2">
        <v>1</v>
      </c>
      <c r="AT184" s="9" t="s">
        <v>612</v>
      </c>
      <c r="AU184" s="9"/>
      <c r="AV184" s="2">
        <v>3</v>
      </c>
      <c r="AX184" s="2">
        <v>3.5</v>
      </c>
      <c r="AY184" s="2" t="s">
        <v>1226</v>
      </c>
      <c r="AZ184" s="9" t="s">
        <v>1227</v>
      </c>
      <c r="BA184" s="16"/>
      <c r="BB184" s="16"/>
      <c r="BC184" s="16"/>
      <c r="BD184" s="16"/>
      <c r="BE184" s="16"/>
      <c r="BF184" s="16"/>
      <c r="BG184" s="16"/>
    </row>
    <row r="185" spans="1:59">
      <c r="A185" s="2" t="s">
        <v>1376</v>
      </c>
      <c r="E185" s="2" t="s">
        <v>273</v>
      </c>
      <c r="F185" s="2">
        <v>0</v>
      </c>
      <c r="L185" s="2">
        <f t="shared" si="91"/>
        <v>0.47712125471966244</v>
      </c>
      <c r="N185" s="2">
        <v>0</v>
      </c>
      <c r="Q185" s="2"/>
      <c r="R185" s="2"/>
      <c r="S185" s="10"/>
      <c r="T185" s="10"/>
      <c r="U185" s="2"/>
      <c r="V185" s="2"/>
      <c r="W185" s="2"/>
      <c r="AO185" s="2">
        <v>3</v>
      </c>
      <c r="AP185" s="2" t="s">
        <v>932</v>
      </c>
      <c r="AQ185" s="2">
        <v>1</v>
      </c>
      <c r="AS185" s="2">
        <v>3</v>
      </c>
      <c r="AT185" s="9" t="s">
        <v>612</v>
      </c>
      <c r="BA185" s="16"/>
      <c r="BB185" s="16"/>
      <c r="BC185" s="16"/>
      <c r="BD185" s="16"/>
      <c r="BE185" s="16"/>
      <c r="BF185" s="16"/>
      <c r="BG185" s="16"/>
    </row>
    <row r="186" spans="1:59">
      <c r="A186" s="2" t="s">
        <v>176</v>
      </c>
      <c r="B186" s="2" t="s">
        <v>176</v>
      </c>
      <c r="C186" s="2" t="s">
        <v>176</v>
      </c>
      <c r="D186" s="2" t="s">
        <v>292</v>
      </c>
      <c r="E186" s="2" t="s">
        <v>272</v>
      </c>
      <c r="F186" s="2">
        <v>0</v>
      </c>
      <c r="G186" s="2">
        <f t="shared" ref="G186:G200" si="92">LOG(O186)</f>
        <v>1.9286366081953235</v>
      </c>
      <c r="H186" s="2">
        <f t="shared" si="76"/>
        <v>3.9880970866007823</v>
      </c>
      <c r="I186" s="2">
        <f>LOG(X186)</f>
        <v>0.3010299956639812</v>
      </c>
      <c r="J186" s="2">
        <f>LOG(Y186)</f>
        <v>1.2632414347745813</v>
      </c>
      <c r="K186" s="2">
        <f>LOG(AG186)</f>
        <v>1.7455952164279209</v>
      </c>
      <c r="L186" s="2">
        <f t="shared" si="91"/>
        <v>1.1026623418971477</v>
      </c>
      <c r="M186" s="2">
        <f>LOG(AX186)</f>
        <v>2.3424226808222062</v>
      </c>
      <c r="N186" s="2">
        <v>1</v>
      </c>
      <c r="O186" s="12">
        <v>84.847022848405999</v>
      </c>
      <c r="P186" s="2">
        <v>28</v>
      </c>
      <c r="Q186" s="9" t="s">
        <v>305</v>
      </c>
      <c r="R186" s="9" t="s">
        <v>308</v>
      </c>
      <c r="S186" s="8">
        <v>9729.6470588235297</v>
      </c>
      <c r="T186" s="10">
        <v>17</v>
      </c>
      <c r="U186" s="9" t="s">
        <v>305</v>
      </c>
      <c r="V186" s="9" t="s">
        <v>312</v>
      </c>
      <c r="W186" s="9" t="s">
        <v>311</v>
      </c>
      <c r="X186" s="9">
        <v>2</v>
      </c>
      <c r="Y186" s="9">
        <f>AVERAGE(10.7,3.3,41)</f>
        <v>18.333333333333332</v>
      </c>
      <c r="Z186" s="9">
        <f>AVERAGE(15,4,37)</f>
        <v>18.666666666666668</v>
      </c>
      <c r="AA186" s="2">
        <f>Y186+Z186</f>
        <v>37</v>
      </c>
      <c r="AB186" s="9"/>
      <c r="AC186" s="9">
        <f>AVERAGE(3,9.1,3)</f>
        <v>5.0333333333333332</v>
      </c>
      <c r="AD186" s="2">
        <f>AB186+AC186</f>
        <v>5.0333333333333332</v>
      </c>
      <c r="AE186" s="9">
        <f>AA186+AD186</f>
        <v>42.033333333333331</v>
      </c>
      <c r="AF186" s="9"/>
      <c r="AG186" s="9">
        <v>55.666666666666664</v>
      </c>
      <c r="AH186" s="9">
        <f>AVERAGE(71.9,41.2,38)</f>
        <v>50.366666666666674</v>
      </c>
      <c r="AI186" s="9">
        <f>AVERAGE(0.1,5.2,3)</f>
        <v>2.7666666666666671</v>
      </c>
      <c r="AJ186" s="2">
        <f>AG186</f>
        <v>55.666666666666664</v>
      </c>
      <c r="AK186" s="9">
        <v>0.3</v>
      </c>
      <c r="AL186" s="9">
        <f>SUM(X186+AA186+AD186+AF186+AG186+AK186)</f>
        <v>99.999999999999986</v>
      </c>
      <c r="AM186" s="9" t="s">
        <v>565</v>
      </c>
      <c r="AN186" s="9" t="s">
        <v>618</v>
      </c>
      <c r="AO186" s="9"/>
      <c r="AP186" s="9"/>
      <c r="AQ186" s="9">
        <f>AVERAGE(17,12,9)</f>
        <v>12.666666666666666</v>
      </c>
      <c r="AR186" s="9" t="s">
        <v>933</v>
      </c>
      <c r="AS186" s="9">
        <v>12.666666666666666</v>
      </c>
      <c r="AT186" s="9" t="s">
        <v>641</v>
      </c>
      <c r="AU186" s="9"/>
      <c r="AV186" s="9"/>
      <c r="AW186" s="9"/>
      <c r="AX186" s="9">
        <v>220</v>
      </c>
      <c r="AY186" s="9" t="s">
        <v>1228</v>
      </c>
      <c r="AZ186" s="9" t="s">
        <v>1229</v>
      </c>
      <c r="BA186" s="17"/>
      <c r="BB186" s="17"/>
      <c r="BC186" s="17"/>
      <c r="BD186" s="17"/>
      <c r="BE186" s="17"/>
      <c r="BF186" s="17"/>
      <c r="BG186" s="17"/>
    </row>
    <row r="187" spans="1:59">
      <c r="A187" s="2" t="s">
        <v>177</v>
      </c>
      <c r="B187" s="2" t="s">
        <v>177</v>
      </c>
      <c r="C187" s="2" t="s">
        <v>177</v>
      </c>
      <c r="E187" s="2" t="s">
        <v>297</v>
      </c>
      <c r="F187" s="2">
        <v>0</v>
      </c>
      <c r="G187" s="2">
        <f t="shared" si="92"/>
        <v>2.0992365519565253</v>
      </c>
      <c r="H187" s="2">
        <f t="shared" si="76"/>
        <v>3.8129133566428557</v>
      </c>
      <c r="I187" s="2">
        <f>LOG(X187)</f>
        <v>1.0211892990699381</v>
      </c>
      <c r="J187" s="2">
        <f>LOG(Y187)</f>
        <v>1.3847117429382825</v>
      </c>
      <c r="K187" s="2">
        <f>LOG(AG187)</f>
        <v>1.7671558660821804</v>
      </c>
      <c r="L187" s="2">
        <f t="shared" si="91"/>
        <v>0.54406804435027567</v>
      </c>
      <c r="M187" s="2">
        <f>LOG(AX187)</f>
        <v>1.9395192526186185</v>
      </c>
      <c r="N187" s="2">
        <v>1</v>
      </c>
      <c r="O187" s="12">
        <v>125.67142857142858</v>
      </c>
      <c r="P187" s="2">
        <v>7</v>
      </c>
      <c r="Q187" s="2" t="s">
        <v>316</v>
      </c>
      <c r="R187" s="9" t="s">
        <v>308</v>
      </c>
      <c r="S187" s="10">
        <v>6500</v>
      </c>
      <c r="T187" s="10"/>
      <c r="U187" s="9" t="s">
        <v>316</v>
      </c>
      <c r="V187" s="2" t="s">
        <v>400</v>
      </c>
      <c r="W187" s="2"/>
      <c r="X187" s="2">
        <f>AVERAGE(7,14)</f>
        <v>10.5</v>
      </c>
      <c r="Y187" s="2">
        <f>AVERAGE(22.5,26)</f>
        <v>24.25</v>
      </c>
      <c r="AA187" s="2">
        <f>Y187+Z187</f>
        <v>24.25</v>
      </c>
      <c r="AC187" s="2">
        <f>AVERAGE(6.5,7)</f>
        <v>6.75</v>
      </c>
      <c r="AD187" s="2">
        <f>AB187+AC187</f>
        <v>6.75</v>
      </c>
      <c r="AE187" s="9">
        <f>AA187+AD187</f>
        <v>31</v>
      </c>
      <c r="AG187" s="2">
        <v>58.5</v>
      </c>
      <c r="AJ187" s="2">
        <f>AG187</f>
        <v>58.5</v>
      </c>
      <c r="AK187" s="2">
        <v>0</v>
      </c>
      <c r="AL187" s="9">
        <f>SUM(X187+AA187+AD187+AF187+AG187+AK187)</f>
        <v>100</v>
      </c>
      <c r="AM187" s="9" t="s">
        <v>489</v>
      </c>
      <c r="AN187" s="2" t="s">
        <v>619</v>
      </c>
      <c r="AQ187" s="2">
        <v>3.5</v>
      </c>
      <c r="AR187" s="2" t="s">
        <v>934</v>
      </c>
      <c r="AS187" s="2">
        <v>3.5</v>
      </c>
      <c r="AT187" s="2" t="s">
        <v>935</v>
      </c>
      <c r="AU187" s="2">
        <v>1306</v>
      </c>
      <c r="AX187" s="2">
        <v>87</v>
      </c>
      <c r="AY187" s="2" t="s">
        <v>1230</v>
      </c>
      <c r="AZ187" s="2" t="s">
        <v>572</v>
      </c>
      <c r="BA187" s="16"/>
      <c r="BB187" s="16"/>
      <c r="BC187" s="16"/>
      <c r="BD187" s="16"/>
      <c r="BE187" s="16"/>
      <c r="BF187" s="16"/>
      <c r="BG187" s="16"/>
    </row>
    <row r="188" spans="1:59">
      <c r="A188" s="2" t="s">
        <v>178</v>
      </c>
      <c r="B188" s="2" t="s">
        <v>178</v>
      </c>
      <c r="C188" s="2" t="s">
        <v>178</v>
      </c>
      <c r="E188" s="2" t="s">
        <v>297</v>
      </c>
      <c r="F188" s="2">
        <v>0</v>
      </c>
      <c r="G188" s="2">
        <f t="shared" si="92"/>
        <v>2.068350804582137</v>
      </c>
      <c r="H188" s="2">
        <f t="shared" si="76"/>
        <v>3.8412718517790911</v>
      </c>
      <c r="J188" s="2">
        <f>LOG(Y188)</f>
        <v>1.4815859363676223</v>
      </c>
      <c r="K188" s="2">
        <f>LOG(AG188)</f>
        <v>1.7598188773748262</v>
      </c>
      <c r="L188" s="2">
        <f t="shared" si="91"/>
        <v>0.59106460702649921</v>
      </c>
      <c r="M188" s="2">
        <f>LOG(AX188)</f>
        <v>1.7476448193282481</v>
      </c>
      <c r="N188" s="2">
        <v>1</v>
      </c>
      <c r="O188" s="12">
        <v>117.04444444444445</v>
      </c>
      <c r="P188" s="2">
        <v>9</v>
      </c>
      <c r="Q188" s="2" t="s">
        <v>316</v>
      </c>
      <c r="R188" s="9" t="s">
        <v>308</v>
      </c>
      <c r="S188" s="13">
        <v>6938.6</v>
      </c>
      <c r="T188" s="8">
        <v>15</v>
      </c>
      <c r="U188" s="9" t="s">
        <v>316</v>
      </c>
      <c r="V188" s="15" t="s">
        <v>401</v>
      </c>
      <c r="W188" s="2"/>
      <c r="X188" s="2">
        <v>0</v>
      </c>
      <c r="Y188" s="2">
        <v>30.31</v>
      </c>
      <c r="AA188" s="23">
        <f>Y188+Z188</f>
        <v>30.31</v>
      </c>
      <c r="AC188" s="2">
        <v>12.17</v>
      </c>
      <c r="AD188" s="2">
        <f>AB188+AC188</f>
        <v>12.17</v>
      </c>
      <c r="AE188" s="9">
        <f>AA188+AD188</f>
        <v>42.48</v>
      </c>
      <c r="AG188" s="2">
        <v>57.52</v>
      </c>
      <c r="AH188" s="9">
        <v>35.4</v>
      </c>
      <c r="AI188" s="9">
        <v>22.12</v>
      </c>
      <c r="AJ188" s="2">
        <f>AG188</f>
        <v>57.52</v>
      </c>
      <c r="AK188" s="2">
        <v>0</v>
      </c>
      <c r="AL188" s="9">
        <f>SUM(X188+AA188+AD188+AF188+AG188+AK188)</f>
        <v>100</v>
      </c>
      <c r="AM188" s="2" t="s">
        <v>517</v>
      </c>
      <c r="AN188" s="2" t="s">
        <v>620</v>
      </c>
      <c r="AQ188" s="9">
        <f>AVERAGE(4.5,4,3.2)</f>
        <v>3.9</v>
      </c>
      <c r="AR188" s="9" t="s">
        <v>936</v>
      </c>
      <c r="AS188" s="9">
        <v>3.9</v>
      </c>
      <c r="AT188" s="2" t="s">
        <v>937</v>
      </c>
      <c r="AV188" s="9"/>
      <c r="AW188" s="9"/>
      <c r="AX188" s="9">
        <v>55.93</v>
      </c>
      <c r="AY188" s="9"/>
      <c r="AZ188" s="9" t="s">
        <v>1231</v>
      </c>
      <c r="BA188" s="17"/>
      <c r="BB188" s="17"/>
      <c r="BC188" s="17"/>
      <c r="BD188" s="17"/>
      <c r="BE188" s="17"/>
      <c r="BF188" s="17"/>
      <c r="BG188" s="17"/>
    </row>
    <row r="189" spans="1:59">
      <c r="A189" s="2" t="s">
        <v>179</v>
      </c>
      <c r="B189" s="2" t="s">
        <v>179</v>
      </c>
      <c r="C189" s="2" t="s">
        <v>179</v>
      </c>
      <c r="E189" s="2" t="s">
        <v>297</v>
      </c>
      <c r="F189" s="2">
        <v>0</v>
      </c>
      <c r="G189" s="2">
        <f t="shared" si="92"/>
        <v>2.0862411547669448</v>
      </c>
      <c r="H189" s="2">
        <f t="shared" si="76"/>
        <v>3.8142475957319202</v>
      </c>
      <c r="I189" s="2">
        <f>LOG(X189)</f>
        <v>0.6020599913279624</v>
      </c>
      <c r="J189" s="2">
        <f>LOG(Y189)</f>
        <v>1.5854607295085006</v>
      </c>
      <c r="K189" s="2">
        <f>LOG(AG189)</f>
        <v>1.7201593034059568</v>
      </c>
      <c r="L189" s="2">
        <f t="shared" si="91"/>
        <v>0.54324002792804549</v>
      </c>
      <c r="N189" s="2">
        <v>1</v>
      </c>
      <c r="O189" s="12">
        <v>121.96666666666665</v>
      </c>
      <c r="P189" s="2">
        <v>6</v>
      </c>
      <c r="Q189" s="2" t="s">
        <v>316</v>
      </c>
      <c r="R189" s="9" t="s">
        <v>308</v>
      </c>
      <c r="S189" s="13">
        <v>6520</v>
      </c>
      <c r="T189" s="8">
        <v>10</v>
      </c>
      <c r="U189" s="9" t="s">
        <v>316</v>
      </c>
      <c r="V189" s="2" t="s">
        <v>402</v>
      </c>
      <c r="W189" s="2"/>
      <c r="X189" s="9">
        <v>4</v>
      </c>
      <c r="Y189" s="9">
        <f>AVERAGE(38.5)</f>
        <v>38.5</v>
      </c>
      <c r="Z189" s="9"/>
      <c r="AA189" s="23">
        <f>Y189+Z189</f>
        <v>38.5</v>
      </c>
      <c r="AB189" s="9"/>
      <c r="AC189" s="9">
        <f>AVERAGE(5)</f>
        <v>5</v>
      </c>
      <c r="AD189" s="2">
        <f>AB189+AC189</f>
        <v>5</v>
      </c>
      <c r="AE189" s="9">
        <f>AA189+AD189</f>
        <v>43.5</v>
      </c>
      <c r="AF189" s="9"/>
      <c r="AG189" s="9">
        <v>52.5</v>
      </c>
      <c r="AJ189" s="2">
        <f>AG189</f>
        <v>52.5</v>
      </c>
      <c r="AK189" s="9">
        <v>0</v>
      </c>
      <c r="AL189" s="9">
        <f>SUM(X189+AA189+AD189+AF189+AG189+AK189)</f>
        <v>100</v>
      </c>
      <c r="AM189" s="2" t="s">
        <v>517</v>
      </c>
      <c r="AN189" s="2" t="s">
        <v>621</v>
      </c>
      <c r="AO189" s="9"/>
      <c r="AP189" s="9"/>
      <c r="AQ189" s="2">
        <f>AVERAGE(3.7,3.78,3)</f>
        <v>3.4933333333333336</v>
      </c>
      <c r="AR189" s="2" t="s">
        <v>938</v>
      </c>
      <c r="AS189" s="2">
        <v>3.4933333333333336</v>
      </c>
      <c r="AT189" s="2" t="s">
        <v>939</v>
      </c>
      <c r="AU189" s="2">
        <v>1305</v>
      </c>
      <c r="BA189" s="16"/>
      <c r="BB189" s="16"/>
      <c r="BC189" s="16"/>
      <c r="BD189" s="16"/>
      <c r="BE189" s="16"/>
      <c r="BF189" s="16"/>
      <c r="BG189" s="16"/>
    </row>
    <row r="190" spans="1:59">
      <c r="A190" s="2" t="s">
        <v>180</v>
      </c>
      <c r="B190" s="2" t="s">
        <v>180</v>
      </c>
      <c r="C190" s="2" t="s">
        <v>180</v>
      </c>
      <c r="E190" s="2" t="s">
        <v>277</v>
      </c>
      <c r="F190" s="2">
        <v>0</v>
      </c>
      <c r="G190" s="2">
        <f t="shared" si="92"/>
        <v>1.1096520185618868</v>
      </c>
      <c r="H190" s="2">
        <f t="shared" si="76"/>
        <v>3.0962363343251464</v>
      </c>
      <c r="L190" s="2">
        <f t="shared" si="91"/>
        <v>0</v>
      </c>
      <c r="N190" s="2">
        <v>1</v>
      </c>
      <c r="O190" s="12">
        <v>12.872177463127182</v>
      </c>
      <c r="P190" s="2">
        <v>17</v>
      </c>
      <c r="Q190" s="2" t="s">
        <v>316</v>
      </c>
      <c r="R190" s="9" t="s">
        <v>308</v>
      </c>
      <c r="S190" s="8">
        <v>1248.0625</v>
      </c>
      <c r="T190" s="10">
        <v>15</v>
      </c>
      <c r="U190" s="9" t="s">
        <v>316</v>
      </c>
      <c r="V190" s="20" t="s">
        <v>403</v>
      </c>
      <c r="W190" s="2"/>
      <c r="AQ190" s="2">
        <v>1</v>
      </c>
      <c r="AR190" s="2" t="s">
        <v>940</v>
      </c>
      <c r="AS190" s="2">
        <v>1</v>
      </c>
      <c r="AT190" s="2" t="s">
        <v>941</v>
      </c>
      <c r="BA190" s="16"/>
      <c r="BB190" s="16"/>
      <c r="BC190" s="16"/>
      <c r="BD190" s="16"/>
      <c r="BE190" s="16"/>
      <c r="BF190" s="17"/>
      <c r="BG190" s="16"/>
    </row>
    <row r="191" spans="1:59">
      <c r="A191" s="2" t="s">
        <v>181</v>
      </c>
      <c r="B191" s="2" t="s">
        <v>181</v>
      </c>
      <c r="C191" s="2" t="s">
        <v>181</v>
      </c>
      <c r="E191" s="2" t="s">
        <v>277</v>
      </c>
      <c r="F191" s="2">
        <v>0</v>
      </c>
      <c r="G191" s="2">
        <f t="shared" si="92"/>
        <v>0.99887769929780512</v>
      </c>
      <c r="H191" s="2">
        <f t="shared" si="76"/>
        <v>2.8145805160103188</v>
      </c>
      <c r="I191" s="2">
        <f>LOG(X191)</f>
        <v>0.3979400086720376</v>
      </c>
      <c r="J191" s="2">
        <f>LOG(Y191)</f>
        <v>1.3521825181113625</v>
      </c>
      <c r="L191" s="2">
        <f t="shared" si="91"/>
        <v>0.3010299956639812</v>
      </c>
      <c r="M191" s="2">
        <f t="shared" ref="M191:M204" si="93">LOG(AX191)</f>
        <v>0.94612461921714541</v>
      </c>
      <c r="N191" s="2">
        <v>0</v>
      </c>
      <c r="O191" s="12">
        <v>9.9741914328528338</v>
      </c>
      <c r="P191" s="2">
        <v>46</v>
      </c>
      <c r="Q191" s="2" t="s">
        <v>316</v>
      </c>
      <c r="R191" s="9" t="s">
        <v>308</v>
      </c>
      <c r="S191" s="13">
        <v>652.5</v>
      </c>
      <c r="T191" s="8">
        <v>100</v>
      </c>
      <c r="U191" s="9" t="s">
        <v>316</v>
      </c>
      <c r="V191" s="2" t="s">
        <v>306</v>
      </c>
      <c r="W191" s="2"/>
      <c r="X191" s="9">
        <v>2.5</v>
      </c>
      <c r="Y191" s="9">
        <v>22.5</v>
      </c>
      <c r="Z191" s="9"/>
      <c r="AA191" s="2">
        <f>Y191+Z191</f>
        <v>22.5</v>
      </c>
      <c r="AB191" s="9">
        <v>31.7</v>
      </c>
      <c r="AC191" s="9"/>
      <c r="AD191" s="2">
        <f>AB191+AC191</f>
        <v>31.7</v>
      </c>
      <c r="AE191" s="9">
        <f>AA191+AD191</f>
        <v>54.2</v>
      </c>
      <c r="AF191" s="9">
        <v>43.3</v>
      </c>
      <c r="AG191" s="9">
        <v>0</v>
      </c>
      <c r="AH191" s="9">
        <v>0</v>
      </c>
      <c r="AI191" s="9">
        <v>0</v>
      </c>
      <c r="AJ191" s="2">
        <f>AG191</f>
        <v>0</v>
      </c>
      <c r="AK191" s="9">
        <v>0</v>
      </c>
      <c r="AL191" s="9">
        <f>SUM(X191+AA191+AD191+AF191+AG191+AK191)</f>
        <v>100</v>
      </c>
      <c r="AM191" s="9" t="s">
        <v>460</v>
      </c>
      <c r="AN191" s="9" t="s">
        <v>622</v>
      </c>
      <c r="AO191" s="9">
        <v>2</v>
      </c>
      <c r="AP191" s="9" t="s">
        <v>942</v>
      </c>
      <c r="AQ191" s="9">
        <v>1.0649999999999999</v>
      </c>
      <c r="AR191" s="9"/>
      <c r="AS191" s="9">
        <v>2</v>
      </c>
      <c r="AT191" s="2" t="s">
        <v>720</v>
      </c>
      <c r="AV191" s="9">
        <f>(0.8+7.35+22)/3</f>
        <v>10.049999999999999</v>
      </c>
      <c r="AW191" s="2">
        <f>(2.1+4.8+10.4)/3</f>
        <v>5.7666666666666666</v>
      </c>
      <c r="AX191" s="9">
        <v>8.8333333333333339</v>
      </c>
      <c r="AY191" s="9" t="s">
        <v>1232</v>
      </c>
      <c r="AZ191" s="9" t="s">
        <v>1233</v>
      </c>
      <c r="BA191" s="17"/>
      <c r="BB191" s="17"/>
      <c r="BC191" s="17"/>
      <c r="BD191" s="17"/>
      <c r="BE191" s="17"/>
      <c r="BF191" s="17"/>
      <c r="BG191" s="17"/>
    </row>
    <row r="192" spans="1:59">
      <c r="A192" s="2" t="s">
        <v>1360</v>
      </c>
      <c r="E192" s="2" t="s">
        <v>277</v>
      </c>
      <c r="F192" s="2">
        <v>0</v>
      </c>
      <c r="G192" s="2">
        <f t="shared" si="92"/>
        <v>1.0161939779732454</v>
      </c>
      <c r="H192" s="2">
        <f t="shared" si="76"/>
        <v>2.8172082684170876</v>
      </c>
      <c r="M192" s="2">
        <f t="shared" si="93"/>
        <v>1.4548448600085102</v>
      </c>
      <c r="N192" s="2">
        <v>0</v>
      </c>
      <c r="O192" s="12">
        <v>10.379919322114084</v>
      </c>
      <c r="P192" s="2">
        <v>25</v>
      </c>
      <c r="Q192" s="2" t="s">
        <v>318</v>
      </c>
      <c r="R192" s="9" t="s">
        <v>308</v>
      </c>
      <c r="S192" s="13">
        <v>656.46</v>
      </c>
      <c r="T192" s="8">
        <v>7</v>
      </c>
      <c r="U192" s="9" t="s">
        <v>316</v>
      </c>
      <c r="V192" s="2" t="s">
        <v>404</v>
      </c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 t="s">
        <v>727</v>
      </c>
      <c r="AQ192" s="9"/>
      <c r="AR192" s="9"/>
      <c r="AS192" s="9"/>
      <c r="AT192" s="9" t="s">
        <v>552</v>
      </c>
      <c r="AU192" s="9"/>
      <c r="AV192" s="9"/>
      <c r="AW192" s="9"/>
      <c r="AX192" s="2">
        <v>28.5</v>
      </c>
      <c r="AY192" s="2" t="s">
        <v>1234</v>
      </c>
      <c r="AZ192" s="2" t="s">
        <v>886</v>
      </c>
      <c r="BA192" s="17"/>
      <c r="BB192" s="17"/>
      <c r="BC192" s="17"/>
      <c r="BD192" s="17"/>
      <c r="BE192" s="17"/>
      <c r="BF192" s="17"/>
      <c r="BG192" s="17"/>
    </row>
    <row r="193" spans="1:59">
      <c r="A193" s="2" t="s">
        <v>182</v>
      </c>
      <c r="B193" s="2" t="s">
        <v>182</v>
      </c>
      <c r="C193" s="2" t="s">
        <v>182</v>
      </c>
      <c r="E193" s="2" t="s">
        <v>277</v>
      </c>
      <c r="F193" s="2">
        <v>0</v>
      </c>
      <c r="G193" s="2">
        <f t="shared" si="92"/>
        <v>0.85907893565403304</v>
      </c>
      <c r="H193" s="2">
        <f t="shared" si="76"/>
        <v>2.6232492903979003</v>
      </c>
      <c r="I193" s="2">
        <f t="shared" ref="I193:I199" si="94">LOG(X193)</f>
        <v>1.5185139398778875</v>
      </c>
      <c r="L193" s="2">
        <f t="shared" ref="L193:L204" si="95">LOG(AS193)</f>
        <v>0</v>
      </c>
      <c r="M193" s="2">
        <f t="shared" si="93"/>
        <v>0.49136169383427269</v>
      </c>
      <c r="N193" s="2">
        <v>0</v>
      </c>
      <c r="O193" s="12">
        <v>7.2290118333333337</v>
      </c>
      <c r="P193" s="2">
        <v>6</v>
      </c>
      <c r="Q193" s="2" t="s">
        <v>316</v>
      </c>
      <c r="R193" s="9" t="s">
        <v>308</v>
      </c>
      <c r="S193" s="13">
        <v>420</v>
      </c>
      <c r="T193" s="13">
        <v>167</v>
      </c>
      <c r="U193" s="9" t="s">
        <v>316</v>
      </c>
      <c r="V193" s="2" t="s">
        <v>363</v>
      </c>
      <c r="W193" s="2"/>
      <c r="X193" s="9">
        <v>33</v>
      </c>
      <c r="Y193" s="9">
        <v>0</v>
      </c>
      <c r="Z193" s="9"/>
      <c r="AA193" s="2">
        <f t="shared" ref="AA193:AA200" si="96">Y193+Z193</f>
        <v>0</v>
      </c>
      <c r="AB193" s="9">
        <v>0</v>
      </c>
      <c r="AC193" s="9">
        <v>0</v>
      </c>
      <c r="AD193" s="2">
        <f t="shared" ref="AD193:AD200" si="97">AB193+AC193</f>
        <v>0</v>
      </c>
      <c r="AE193" s="9">
        <f t="shared" ref="AE193:AE200" si="98">AA193+AD193</f>
        <v>0</v>
      </c>
      <c r="AF193" s="9">
        <v>63</v>
      </c>
      <c r="AG193" s="9">
        <v>0</v>
      </c>
      <c r="AH193" s="9">
        <v>0</v>
      </c>
      <c r="AI193" s="9">
        <v>0</v>
      </c>
      <c r="AJ193" s="2">
        <f t="shared" ref="AJ193:AJ200" si="99">AG193</f>
        <v>0</v>
      </c>
      <c r="AK193" s="9">
        <v>4</v>
      </c>
      <c r="AL193" s="9">
        <f t="shared" ref="AL193:AL200" si="100">SUM(X193+AA193+AD193+AF193+AG193+AK193)</f>
        <v>100</v>
      </c>
      <c r="AM193" s="9" t="s">
        <v>460</v>
      </c>
      <c r="AN193" s="9" t="s">
        <v>623</v>
      </c>
      <c r="AO193" s="9">
        <v>1.04</v>
      </c>
      <c r="AP193" s="9" t="s">
        <v>943</v>
      </c>
      <c r="AQ193" s="9">
        <v>1</v>
      </c>
      <c r="AR193" s="9"/>
      <c r="AS193" s="9">
        <v>1</v>
      </c>
      <c r="AT193" s="2" t="s">
        <v>944</v>
      </c>
      <c r="AV193" s="9">
        <v>22</v>
      </c>
      <c r="AW193" s="9">
        <v>12</v>
      </c>
      <c r="AX193" s="9">
        <v>3.1</v>
      </c>
      <c r="AY193" s="9" t="s">
        <v>1235</v>
      </c>
      <c r="AZ193" s="2" t="s">
        <v>720</v>
      </c>
      <c r="BA193" s="17"/>
      <c r="BB193" s="17"/>
      <c r="BC193" s="17"/>
      <c r="BD193" s="17"/>
      <c r="BE193" s="17"/>
      <c r="BF193" s="17"/>
      <c r="BG193" s="17"/>
    </row>
    <row r="194" spans="1:59">
      <c r="A194" s="2" t="s">
        <v>183</v>
      </c>
      <c r="B194" s="2" t="s">
        <v>183</v>
      </c>
      <c r="C194" s="2" t="s">
        <v>183</v>
      </c>
      <c r="E194" s="2" t="s">
        <v>295</v>
      </c>
      <c r="F194" s="2">
        <v>0</v>
      </c>
      <c r="G194" s="2">
        <f t="shared" si="92"/>
        <v>1.0701101748579549</v>
      </c>
      <c r="H194" s="2">
        <f t="shared" si="76"/>
        <v>3.0606978403536118</v>
      </c>
      <c r="I194" s="2">
        <f t="shared" si="94"/>
        <v>0.69897000433601886</v>
      </c>
      <c r="J194" s="2">
        <f t="shared" ref="J194:J205" si="101">LOG(Y194)</f>
        <v>1.3222192947339193</v>
      </c>
      <c r="L194" s="2">
        <f t="shared" si="95"/>
        <v>0.3979400086720376</v>
      </c>
      <c r="M194" s="2">
        <f t="shared" si="93"/>
        <v>0.92941892571429274</v>
      </c>
      <c r="N194" s="2">
        <v>0</v>
      </c>
      <c r="O194" s="12">
        <v>11.751956489682611</v>
      </c>
      <c r="P194" s="2">
        <v>42</v>
      </c>
      <c r="Q194" s="2" t="s">
        <v>316</v>
      </c>
      <c r="R194" s="9" t="s">
        <v>308</v>
      </c>
      <c r="S194" s="13">
        <v>1150</v>
      </c>
      <c r="T194" s="8">
        <v>101</v>
      </c>
      <c r="U194" s="9" t="s">
        <v>316</v>
      </c>
      <c r="V194" s="2" t="s">
        <v>306</v>
      </c>
      <c r="W194" s="2" t="s">
        <v>405</v>
      </c>
      <c r="X194" s="9">
        <v>5</v>
      </c>
      <c r="Y194" s="9">
        <v>21</v>
      </c>
      <c r="Z194" s="9"/>
      <c r="AA194" s="2">
        <f t="shared" si="96"/>
        <v>21</v>
      </c>
      <c r="AB194" s="9">
        <v>8</v>
      </c>
      <c r="AC194" s="9">
        <v>0</v>
      </c>
      <c r="AD194" s="2">
        <f t="shared" si="97"/>
        <v>8</v>
      </c>
      <c r="AE194" s="9">
        <f t="shared" si="98"/>
        <v>29</v>
      </c>
      <c r="AF194" s="9">
        <v>62</v>
      </c>
      <c r="AG194" s="9">
        <v>0</v>
      </c>
      <c r="AH194" s="9">
        <v>0</v>
      </c>
      <c r="AI194" s="9">
        <v>0</v>
      </c>
      <c r="AJ194" s="2">
        <f t="shared" si="99"/>
        <v>0</v>
      </c>
      <c r="AK194" s="9">
        <v>4</v>
      </c>
      <c r="AL194" s="9">
        <f t="shared" si="100"/>
        <v>100</v>
      </c>
      <c r="AM194" s="9" t="s">
        <v>460</v>
      </c>
      <c r="AN194" s="9" t="s">
        <v>624</v>
      </c>
      <c r="AO194" s="2">
        <v>2.5</v>
      </c>
      <c r="AP194" s="2" t="s">
        <v>945</v>
      </c>
      <c r="AQ194" s="9">
        <v>1</v>
      </c>
      <c r="AR194" s="9"/>
      <c r="AS194" s="2">
        <v>2.5</v>
      </c>
      <c r="AT194" s="2" t="s">
        <v>720</v>
      </c>
      <c r="AU194" s="2">
        <v>1000</v>
      </c>
      <c r="AV194" s="9">
        <v>10</v>
      </c>
      <c r="AW194" s="9">
        <v>7</v>
      </c>
      <c r="AX194" s="9">
        <v>8.5</v>
      </c>
      <c r="AY194" s="9"/>
      <c r="AZ194" s="9" t="s">
        <v>612</v>
      </c>
      <c r="BA194" s="17"/>
      <c r="BB194" s="17"/>
      <c r="BC194" s="17"/>
      <c r="BD194" s="17"/>
      <c r="BE194" s="17"/>
      <c r="BF194" s="17"/>
      <c r="BG194" s="17"/>
    </row>
    <row r="195" spans="1:59">
      <c r="A195" s="2" t="s">
        <v>184</v>
      </c>
      <c r="B195" s="2" t="s">
        <v>184</v>
      </c>
      <c r="C195" s="2" t="s">
        <v>184</v>
      </c>
      <c r="E195" s="2" t="s">
        <v>295</v>
      </c>
      <c r="F195" s="2">
        <v>0</v>
      </c>
      <c r="G195" s="2">
        <f t="shared" si="92"/>
        <v>1.0320675842374587</v>
      </c>
      <c r="H195" s="2">
        <f t="shared" ref="H195:H257" si="102">LOG(S195)</f>
        <v>3.0748164406451748</v>
      </c>
      <c r="I195" s="2">
        <f t="shared" si="94"/>
        <v>1.6989700043360187</v>
      </c>
      <c r="J195" s="2">
        <f t="shared" si="101"/>
        <v>1.6989700043360187</v>
      </c>
      <c r="L195" s="2">
        <f t="shared" si="95"/>
        <v>0.17609125905568124</v>
      </c>
      <c r="M195" s="2">
        <f t="shared" si="93"/>
        <v>1.1613680022349748</v>
      </c>
      <c r="N195" s="2">
        <v>0</v>
      </c>
      <c r="O195" s="12">
        <v>10.766327445212523</v>
      </c>
      <c r="P195" s="2">
        <v>39</v>
      </c>
      <c r="Q195" s="2" t="s">
        <v>316</v>
      </c>
      <c r="R195" s="9" t="s">
        <v>308</v>
      </c>
      <c r="S195" s="13">
        <v>1188</v>
      </c>
      <c r="T195" s="8">
        <v>7</v>
      </c>
      <c r="U195" s="9" t="s">
        <v>316</v>
      </c>
      <c r="V195" s="9" t="s">
        <v>312</v>
      </c>
      <c r="W195" s="2" t="s">
        <v>311</v>
      </c>
      <c r="X195" s="9">
        <v>50</v>
      </c>
      <c r="Y195" s="9">
        <v>50</v>
      </c>
      <c r="Z195" s="9"/>
      <c r="AA195" s="2">
        <f t="shared" si="96"/>
        <v>50</v>
      </c>
      <c r="AB195" s="9">
        <v>0</v>
      </c>
      <c r="AC195" s="9">
        <v>0</v>
      </c>
      <c r="AD195" s="2">
        <f t="shared" si="97"/>
        <v>0</v>
      </c>
      <c r="AE195" s="9">
        <f t="shared" si="98"/>
        <v>50</v>
      </c>
      <c r="AF195" s="9">
        <v>0</v>
      </c>
      <c r="AG195" s="9">
        <v>0</v>
      </c>
      <c r="AH195" s="9">
        <v>0</v>
      </c>
      <c r="AI195" s="9">
        <v>0</v>
      </c>
      <c r="AJ195" s="2">
        <f t="shared" si="99"/>
        <v>0</v>
      </c>
      <c r="AK195" s="9">
        <v>0</v>
      </c>
      <c r="AL195" s="9">
        <f t="shared" si="100"/>
        <v>100</v>
      </c>
      <c r="AM195" s="9" t="s">
        <v>460</v>
      </c>
      <c r="AN195" s="9" t="s">
        <v>625</v>
      </c>
      <c r="AO195" s="2">
        <v>2</v>
      </c>
      <c r="AP195" s="2" t="s">
        <v>946</v>
      </c>
      <c r="AQ195" s="9">
        <v>1</v>
      </c>
      <c r="AR195" s="9"/>
      <c r="AS195" s="2">
        <v>1.5</v>
      </c>
      <c r="AT195" s="2" t="s">
        <v>720</v>
      </c>
      <c r="AU195" s="2">
        <v>1600</v>
      </c>
      <c r="AV195" s="9">
        <v>17</v>
      </c>
      <c r="AW195" s="9">
        <v>12</v>
      </c>
      <c r="AX195" s="9">
        <v>14.5</v>
      </c>
      <c r="AY195" s="9"/>
      <c r="AZ195" s="2" t="s">
        <v>1236</v>
      </c>
      <c r="BA195" s="17"/>
      <c r="BB195" s="17"/>
      <c r="BC195" s="17"/>
      <c r="BD195" s="17"/>
      <c r="BE195" s="17"/>
      <c r="BF195" s="17"/>
      <c r="BG195" s="17"/>
    </row>
    <row r="196" spans="1:59">
      <c r="A196" s="2" t="s">
        <v>185</v>
      </c>
      <c r="B196" s="2" t="s">
        <v>185</v>
      </c>
      <c r="C196" s="2" t="s">
        <v>185</v>
      </c>
      <c r="E196" s="2" t="s">
        <v>296</v>
      </c>
      <c r="F196" s="2">
        <v>1</v>
      </c>
      <c r="G196" s="2">
        <f t="shared" si="92"/>
        <v>2.5135505203463375</v>
      </c>
      <c r="H196" s="2">
        <f t="shared" si="102"/>
        <v>4.5211380837040362</v>
      </c>
      <c r="I196" s="2">
        <f t="shared" si="94"/>
        <v>0.3010299956639812</v>
      </c>
      <c r="J196" s="2">
        <f t="shared" si="101"/>
        <v>1.7643629658980102</v>
      </c>
      <c r="K196" s="2">
        <f>LOG(AG196)</f>
        <v>1.3869446243705745</v>
      </c>
      <c r="L196" s="2">
        <f t="shared" si="95"/>
        <v>1.4842998393467859</v>
      </c>
      <c r="M196" s="2">
        <f t="shared" si="93"/>
        <v>3.2636360685881081</v>
      </c>
      <c r="N196" s="2">
        <v>1</v>
      </c>
      <c r="O196" s="12">
        <v>326.25</v>
      </c>
      <c r="P196" s="2">
        <v>4</v>
      </c>
      <c r="Q196" s="9" t="s">
        <v>305</v>
      </c>
      <c r="R196" s="9" t="s">
        <v>306</v>
      </c>
      <c r="S196" s="13">
        <v>33200</v>
      </c>
      <c r="T196" s="8">
        <v>6</v>
      </c>
      <c r="U196" s="9" t="s">
        <v>305</v>
      </c>
      <c r="V196" s="15" t="s">
        <v>406</v>
      </c>
      <c r="W196" s="2"/>
      <c r="X196" s="2">
        <v>2</v>
      </c>
      <c r="Y196" s="9">
        <f>AVERAGE(46,49,74.4,63.1)</f>
        <v>58.125</v>
      </c>
      <c r="Z196" s="9">
        <v>9</v>
      </c>
      <c r="AA196" s="2">
        <f t="shared" si="96"/>
        <v>67.125</v>
      </c>
      <c r="AB196" s="9"/>
      <c r="AC196" s="9">
        <f>AVERAGE(2,6,0.5)</f>
        <v>2.8333333333333335</v>
      </c>
      <c r="AD196" s="2">
        <f t="shared" si="97"/>
        <v>2.8333333333333335</v>
      </c>
      <c r="AE196" s="9">
        <f t="shared" si="98"/>
        <v>69.958333333333329</v>
      </c>
      <c r="AF196" s="9"/>
      <c r="AG196" s="9">
        <v>24.375</v>
      </c>
      <c r="AH196" s="9"/>
      <c r="AI196" s="9"/>
      <c r="AJ196" s="2">
        <f t="shared" si="99"/>
        <v>24.375</v>
      </c>
      <c r="AK196" s="9">
        <v>3.7</v>
      </c>
      <c r="AL196" s="9">
        <f t="shared" si="100"/>
        <v>100.03333333333333</v>
      </c>
      <c r="AM196" s="9" t="s">
        <v>489</v>
      </c>
      <c r="AN196" s="9" t="s">
        <v>626</v>
      </c>
      <c r="AO196" s="9"/>
      <c r="AP196" s="9"/>
      <c r="AQ196" s="9">
        <f>AVERAGE(28,33)</f>
        <v>30.5</v>
      </c>
      <c r="AR196" s="2" t="s">
        <v>947</v>
      </c>
      <c r="AS196" s="9">
        <v>30.5</v>
      </c>
      <c r="AT196" s="9" t="s">
        <v>948</v>
      </c>
      <c r="AU196" s="9">
        <v>2000</v>
      </c>
      <c r="AV196" s="9"/>
      <c r="AW196" s="9"/>
      <c r="AX196" s="2">
        <v>1835</v>
      </c>
      <c r="AY196" s="2" t="s">
        <v>1237</v>
      </c>
      <c r="AZ196" s="9" t="s">
        <v>1238</v>
      </c>
      <c r="BA196" s="17"/>
      <c r="BB196" s="17"/>
      <c r="BC196" s="17"/>
      <c r="BD196" s="17"/>
      <c r="BE196" s="17"/>
      <c r="BF196" s="17"/>
      <c r="BG196" s="17"/>
    </row>
    <row r="197" spans="1:59">
      <c r="A197" s="2" t="s">
        <v>186</v>
      </c>
      <c r="B197" s="2" t="s">
        <v>1408</v>
      </c>
      <c r="C197" s="2" t="s">
        <v>186</v>
      </c>
      <c r="E197" s="2" t="s">
        <v>296</v>
      </c>
      <c r="F197" s="2">
        <v>1</v>
      </c>
      <c r="G197" s="2">
        <f t="shared" si="92"/>
        <v>2.5535343709975358</v>
      </c>
      <c r="H197" s="2">
        <f t="shared" si="102"/>
        <v>4.6060228884233894</v>
      </c>
      <c r="I197" s="2">
        <f t="shared" si="94"/>
        <v>0.6020599913279624</v>
      </c>
      <c r="J197" s="2">
        <f t="shared" si="101"/>
        <v>1.8202953102654551</v>
      </c>
      <c r="K197" s="2">
        <f>LOG(AG197)</f>
        <v>1.3010299956639813</v>
      </c>
      <c r="L197" s="2">
        <f t="shared" si="95"/>
        <v>1.6096621539481908</v>
      </c>
      <c r="M197" s="2">
        <f t="shared" si="93"/>
        <v>3.2973957110088872</v>
      </c>
      <c r="N197" s="2">
        <v>1</v>
      </c>
      <c r="O197" s="12">
        <v>357.71270960793089</v>
      </c>
      <c r="P197" s="2">
        <v>80</v>
      </c>
      <c r="Q197" s="9" t="s">
        <v>305</v>
      </c>
      <c r="R197" s="9" t="s">
        <v>308</v>
      </c>
      <c r="S197" s="13">
        <v>40366.666666666664</v>
      </c>
      <c r="T197" s="8">
        <v>33</v>
      </c>
      <c r="U197" s="9" t="s">
        <v>305</v>
      </c>
      <c r="V197" s="2" t="s">
        <v>306</v>
      </c>
      <c r="W197" s="2" t="s">
        <v>307</v>
      </c>
      <c r="X197" s="9">
        <v>4</v>
      </c>
      <c r="Y197" s="9">
        <f>AVERAGE(85,57,64.5,61,56.1,78.5,60.7)</f>
        <v>66.114285714285714</v>
      </c>
      <c r="Z197" s="9">
        <f>AVERAGE(0,7,0.1)</f>
        <v>2.3666666666666667</v>
      </c>
      <c r="AA197" s="2">
        <f t="shared" si="96"/>
        <v>68.480952380952374</v>
      </c>
      <c r="AB197" s="9"/>
      <c r="AC197" s="9">
        <f>AVERAGE(2,8.8,3,0.6)</f>
        <v>3.6</v>
      </c>
      <c r="AD197" s="2">
        <f t="shared" si="97"/>
        <v>3.6</v>
      </c>
      <c r="AE197" s="9">
        <f t="shared" si="98"/>
        <v>72.080952380952368</v>
      </c>
      <c r="AF197" s="9">
        <v>0</v>
      </c>
      <c r="AG197" s="9">
        <v>20</v>
      </c>
      <c r="AH197" s="9"/>
      <c r="AI197" s="9"/>
      <c r="AJ197" s="2">
        <f t="shared" si="99"/>
        <v>20</v>
      </c>
      <c r="AK197" s="9">
        <v>3.9</v>
      </c>
      <c r="AL197" s="9">
        <f t="shared" si="100"/>
        <v>99.980952380952374</v>
      </c>
      <c r="AM197" s="9" t="s">
        <v>489</v>
      </c>
      <c r="AN197" s="9" t="s">
        <v>627</v>
      </c>
      <c r="AO197" s="9"/>
      <c r="AP197" s="9"/>
      <c r="AQ197" s="9">
        <f>AVERAGE(AVERAGE(55.5,19,15),AVERAGE(49,73,44,140,29,44,22),35)</f>
        <v>40.706349206349209</v>
      </c>
      <c r="AR197" s="9" t="s">
        <v>949</v>
      </c>
      <c r="AS197" s="9">
        <v>40.706349206349209</v>
      </c>
      <c r="AT197" s="9" t="s">
        <v>948</v>
      </c>
      <c r="AU197" s="9">
        <v>3000</v>
      </c>
      <c r="AV197" s="9"/>
      <c r="AW197" s="9"/>
      <c r="AX197" s="2">
        <v>1983.3333333333333</v>
      </c>
      <c r="AY197" s="9" t="s">
        <v>1239</v>
      </c>
      <c r="AZ197" s="9" t="s">
        <v>1238</v>
      </c>
      <c r="BA197" s="17"/>
      <c r="BB197" s="17"/>
      <c r="BC197" s="17"/>
      <c r="BD197" s="17"/>
      <c r="BE197" s="17"/>
      <c r="BF197" s="17"/>
      <c r="BG197" s="17"/>
    </row>
    <row r="198" spans="1:59">
      <c r="A198" s="2" t="s">
        <v>187</v>
      </c>
      <c r="B198" s="2" t="s">
        <v>187</v>
      </c>
      <c r="C198" s="2" t="s">
        <v>187</v>
      </c>
      <c r="D198" s="2" t="s">
        <v>271</v>
      </c>
      <c r="E198" s="2" t="s">
        <v>272</v>
      </c>
      <c r="F198" s="2">
        <v>1</v>
      </c>
      <c r="G198" s="2">
        <f t="shared" si="92"/>
        <v>2.1932817018357014</v>
      </c>
      <c r="H198" s="2">
        <f t="shared" si="102"/>
        <v>4.0863598306747484</v>
      </c>
      <c r="I198" s="2">
        <f t="shared" si="94"/>
        <v>0.54406804435027567</v>
      </c>
      <c r="J198" s="2">
        <f t="shared" si="101"/>
        <v>1.5797835966168101</v>
      </c>
      <c r="K198" s="2">
        <f>LOG(AG198)</f>
        <v>1.4936903561528554</v>
      </c>
      <c r="L198" s="2">
        <f t="shared" si="95"/>
        <v>1.9204215030836957</v>
      </c>
      <c r="M198" s="2">
        <f t="shared" si="93"/>
        <v>3.4118300690004761</v>
      </c>
      <c r="N198" s="2">
        <v>1</v>
      </c>
      <c r="O198" s="12">
        <v>156.05644229311656</v>
      </c>
      <c r="P198" s="2">
        <v>28</v>
      </c>
      <c r="Q198" s="9" t="s">
        <v>305</v>
      </c>
      <c r="R198" s="9" t="s">
        <v>308</v>
      </c>
      <c r="S198" s="8">
        <v>12200</v>
      </c>
      <c r="T198" s="8">
        <v>237</v>
      </c>
      <c r="U198" s="9" t="s">
        <v>305</v>
      </c>
      <c r="V198" s="18" t="s">
        <v>407</v>
      </c>
      <c r="W198" s="2"/>
      <c r="X198" s="9">
        <f>AVERAGE(4,1,2,13,1,0)</f>
        <v>3.5</v>
      </c>
      <c r="Y198" s="9">
        <f>AVERAGE(41,23,10,49,46,59)</f>
        <v>38</v>
      </c>
      <c r="Z198" s="9">
        <f>AVERAGE(1,15,27,7,8,17)</f>
        <v>12.5</v>
      </c>
      <c r="AA198" s="2">
        <f t="shared" si="96"/>
        <v>50.5</v>
      </c>
      <c r="AB198" s="9"/>
      <c r="AC198" s="9">
        <f>AVERAGE(12,21,3,2,1,5)</f>
        <v>7.333333333333333</v>
      </c>
      <c r="AD198" s="2">
        <f t="shared" si="97"/>
        <v>7.333333333333333</v>
      </c>
      <c r="AE198" s="9">
        <f t="shared" si="98"/>
        <v>57.833333333333336</v>
      </c>
      <c r="AF198" s="9"/>
      <c r="AG198" s="9">
        <v>31.166666666666668</v>
      </c>
      <c r="AH198" s="9"/>
      <c r="AI198" s="9"/>
      <c r="AJ198" s="2">
        <f t="shared" si="99"/>
        <v>31.166666666666668</v>
      </c>
      <c r="AK198" s="9">
        <v>7.5</v>
      </c>
      <c r="AL198" s="9">
        <f t="shared" si="100"/>
        <v>100</v>
      </c>
      <c r="AM198" s="9" t="s">
        <v>458</v>
      </c>
      <c r="AN198" s="9" t="s">
        <v>628</v>
      </c>
      <c r="AQ198" s="9">
        <f>AVERAGE(87.5,29.7,303,65,20.7,31.9,45)</f>
        <v>83.257142857142853</v>
      </c>
      <c r="AR198" s="9" t="s">
        <v>950</v>
      </c>
      <c r="AS198" s="9">
        <v>83.257142857142853</v>
      </c>
      <c r="AT198" s="9" t="s">
        <v>657</v>
      </c>
      <c r="AU198" s="9">
        <f>AVERAGE(5637,1200,4300,2400)</f>
        <v>3384.25</v>
      </c>
      <c r="AV198" s="9"/>
      <c r="AW198" s="9"/>
      <c r="AX198" s="9">
        <v>2581.25</v>
      </c>
      <c r="AY198" s="9" t="s">
        <v>1240</v>
      </c>
      <c r="AZ198" s="9" t="s">
        <v>1010</v>
      </c>
      <c r="BA198" s="17"/>
      <c r="BB198" s="17"/>
      <c r="BC198" s="17"/>
      <c r="BD198" s="17"/>
      <c r="BE198" s="17"/>
      <c r="BF198" s="17"/>
      <c r="BG198" s="17"/>
    </row>
    <row r="199" spans="1:59">
      <c r="A199" s="2" t="s">
        <v>188</v>
      </c>
      <c r="B199" s="2" t="s">
        <v>188</v>
      </c>
      <c r="C199" s="2" t="s">
        <v>188</v>
      </c>
      <c r="D199" s="2" t="s">
        <v>271</v>
      </c>
      <c r="E199" s="2" t="s">
        <v>272</v>
      </c>
      <c r="F199" s="2">
        <v>1</v>
      </c>
      <c r="G199" s="2">
        <f t="shared" si="92"/>
        <v>2.1747545728373425</v>
      </c>
      <c r="H199" s="2">
        <f t="shared" si="102"/>
        <v>4.0152759066818753</v>
      </c>
      <c r="I199" s="2">
        <f t="shared" si="94"/>
        <v>0.52287874528033762</v>
      </c>
      <c r="J199" s="2">
        <f t="shared" si="101"/>
        <v>1.4760341590784483</v>
      </c>
      <c r="K199" s="2">
        <f>LOG(AG199)</f>
        <v>1.2041199826559248</v>
      </c>
      <c r="L199" s="2">
        <f t="shared" si="95"/>
        <v>1.7481880270062005</v>
      </c>
      <c r="M199" s="2">
        <f t="shared" si="93"/>
        <v>3.3816564825857869</v>
      </c>
      <c r="N199" s="2">
        <v>1</v>
      </c>
      <c r="O199" s="12">
        <v>149.53903468714358</v>
      </c>
      <c r="P199" s="2">
        <v>13</v>
      </c>
      <c r="Q199" s="9" t="s">
        <v>305</v>
      </c>
      <c r="R199" s="9" t="s">
        <v>308</v>
      </c>
      <c r="S199" s="13">
        <v>10358</v>
      </c>
      <c r="T199" s="8">
        <v>12</v>
      </c>
      <c r="U199" s="9" t="s">
        <v>305</v>
      </c>
      <c r="V199" s="15" t="s">
        <v>408</v>
      </c>
      <c r="W199" s="2"/>
      <c r="X199" s="9">
        <f>AVERAGE(1,0,9)</f>
        <v>3.3333333333333335</v>
      </c>
      <c r="Y199" s="9">
        <f>AVERAGE(27,43,16,33.7)</f>
        <v>29.925000000000001</v>
      </c>
      <c r="Z199" s="9">
        <f>AVERAGE(33,12,52,17.2)</f>
        <v>28.55</v>
      </c>
      <c r="AA199" s="2">
        <f t="shared" si="96"/>
        <v>58.475000000000001</v>
      </c>
      <c r="AB199" s="9"/>
      <c r="AC199" s="9">
        <f>AVERAGE(5,20,3.6,6)</f>
        <v>8.65</v>
      </c>
      <c r="AD199" s="9">
        <f t="shared" si="97"/>
        <v>8.65</v>
      </c>
      <c r="AE199" s="9">
        <f t="shared" si="98"/>
        <v>67.125</v>
      </c>
      <c r="AF199" s="9">
        <f>AVERAGE(8.1,1)</f>
        <v>4.55</v>
      </c>
      <c r="AG199" s="9">
        <v>16</v>
      </c>
      <c r="AH199" s="9"/>
      <c r="AI199" s="9"/>
      <c r="AJ199" s="2">
        <f t="shared" si="99"/>
        <v>16</v>
      </c>
      <c r="AK199" s="9">
        <v>9</v>
      </c>
      <c r="AL199" s="9">
        <f t="shared" si="100"/>
        <v>100.00833333333334</v>
      </c>
      <c r="AM199" s="9" t="s">
        <v>458</v>
      </c>
      <c r="AN199" s="9" t="s">
        <v>629</v>
      </c>
      <c r="AQ199" s="9">
        <v>56</v>
      </c>
      <c r="AR199" s="9" t="s">
        <v>951</v>
      </c>
      <c r="AS199" s="9">
        <v>56</v>
      </c>
      <c r="AT199" s="9" t="s">
        <v>952</v>
      </c>
      <c r="AU199" s="9">
        <v>5150</v>
      </c>
      <c r="AV199" s="9"/>
      <c r="AW199" s="9"/>
      <c r="AX199" s="9">
        <v>2408</v>
      </c>
      <c r="AY199" s="9" t="s">
        <v>1241</v>
      </c>
      <c r="AZ199" s="9" t="s">
        <v>1242</v>
      </c>
      <c r="BA199" s="17"/>
      <c r="BB199" s="17"/>
      <c r="BC199" s="17"/>
      <c r="BD199" s="17"/>
      <c r="BE199" s="17"/>
      <c r="BF199" s="17"/>
      <c r="BG199" s="17"/>
    </row>
    <row r="200" spans="1:59">
      <c r="A200" s="2" t="s">
        <v>189</v>
      </c>
      <c r="B200" s="2" t="s">
        <v>189</v>
      </c>
      <c r="C200" s="2" t="s">
        <v>189</v>
      </c>
      <c r="D200" s="2" t="s">
        <v>271</v>
      </c>
      <c r="E200" s="2" t="s">
        <v>272</v>
      </c>
      <c r="F200" s="2">
        <v>1</v>
      </c>
      <c r="G200" s="2">
        <f t="shared" si="92"/>
        <v>2.1367205671564067</v>
      </c>
      <c r="H200" s="2">
        <f t="shared" si="102"/>
        <v>3.9956351945975501</v>
      </c>
      <c r="J200" s="2">
        <f t="shared" si="101"/>
        <v>1.6532125137753437</v>
      </c>
      <c r="K200" s="2">
        <f>LOG(AG200)</f>
        <v>1.4471580313422192</v>
      </c>
      <c r="L200" s="2">
        <f t="shared" si="95"/>
        <v>1.5774917998372253</v>
      </c>
      <c r="M200" s="2">
        <f t="shared" si="93"/>
        <v>3.5078558716958308</v>
      </c>
      <c r="N200" s="2">
        <v>1</v>
      </c>
      <c r="O200" s="12">
        <v>137</v>
      </c>
      <c r="P200" s="2">
        <v>9</v>
      </c>
      <c r="Q200" s="9" t="s">
        <v>305</v>
      </c>
      <c r="R200" s="9" t="s">
        <v>308</v>
      </c>
      <c r="S200" s="13">
        <v>9900</v>
      </c>
      <c r="T200" s="8">
        <v>76</v>
      </c>
      <c r="U200" s="9" t="s">
        <v>305</v>
      </c>
      <c r="V200" s="2" t="s">
        <v>409</v>
      </c>
      <c r="W200" s="2" t="s">
        <v>307</v>
      </c>
      <c r="X200" s="9">
        <v>0</v>
      </c>
      <c r="Y200" s="9">
        <v>45</v>
      </c>
      <c r="Z200" s="9">
        <v>2</v>
      </c>
      <c r="AA200" s="2">
        <f t="shared" si="96"/>
        <v>47</v>
      </c>
      <c r="AB200" s="9"/>
      <c r="AC200" s="9">
        <v>22</v>
      </c>
      <c r="AD200" s="9">
        <f t="shared" si="97"/>
        <v>22</v>
      </c>
      <c r="AE200" s="9">
        <f t="shared" si="98"/>
        <v>69</v>
      </c>
      <c r="AF200" s="9"/>
      <c r="AG200" s="9">
        <v>28</v>
      </c>
      <c r="AH200" s="9"/>
      <c r="AI200" s="9"/>
      <c r="AJ200" s="2">
        <f t="shared" si="99"/>
        <v>28</v>
      </c>
      <c r="AK200" s="9">
        <v>3</v>
      </c>
      <c r="AL200" s="9">
        <f t="shared" si="100"/>
        <v>100</v>
      </c>
      <c r="AM200" s="9" t="s">
        <v>460</v>
      </c>
      <c r="AN200" s="9" t="s">
        <v>628</v>
      </c>
      <c r="AQ200" s="9">
        <v>37.799999999999997</v>
      </c>
      <c r="AR200" s="9" t="s">
        <v>953</v>
      </c>
      <c r="AS200" s="9">
        <v>37.799999999999997</v>
      </c>
      <c r="AT200" s="9" t="s">
        <v>954</v>
      </c>
      <c r="AU200" s="9">
        <f>AVERAGE(13200,8300,9500,7500)</f>
        <v>9625</v>
      </c>
      <c r="AV200" s="9"/>
      <c r="AW200" s="9"/>
      <c r="AX200" s="9">
        <v>3220</v>
      </c>
      <c r="AY200" s="9" t="s">
        <v>1243</v>
      </c>
      <c r="AZ200" s="9" t="s">
        <v>1244</v>
      </c>
      <c r="BA200" s="17"/>
      <c r="BB200" s="17"/>
      <c r="BC200" s="17"/>
      <c r="BD200" s="17"/>
      <c r="BE200" s="17"/>
      <c r="BF200" s="17"/>
      <c r="BG200" s="17"/>
    </row>
    <row r="201" spans="1:59">
      <c r="A201" s="2" t="s">
        <v>190</v>
      </c>
      <c r="B201" s="2" t="s">
        <v>190</v>
      </c>
      <c r="C201" s="2" t="s">
        <v>190</v>
      </c>
      <c r="D201" s="2" t="s">
        <v>271</v>
      </c>
      <c r="E201" s="2" t="s">
        <v>272</v>
      </c>
      <c r="F201" s="2">
        <v>1</v>
      </c>
      <c r="H201" s="2">
        <f t="shared" si="102"/>
        <v>4.0791812460476251</v>
      </c>
      <c r="J201" s="2">
        <f t="shared" si="101"/>
        <v>1.7781512503836436</v>
      </c>
      <c r="L201" s="2">
        <f t="shared" si="95"/>
        <v>1.7923916894982539</v>
      </c>
      <c r="M201" s="2">
        <f t="shared" si="93"/>
        <v>3.5118833609788744</v>
      </c>
      <c r="N201" s="2">
        <v>1</v>
      </c>
      <c r="O201" s="9"/>
      <c r="P201" s="14"/>
      <c r="Q201" s="9"/>
      <c r="R201" s="9"/>
      <c r="S201" s="13">
        <v>12000</v>
      </c>
      <c r="T201" s="8"/>
      <c r="U201" s="9" t="s">
        <v>326</v>
      </c>
      <c r="V201" s="2" t="s">
        <v>410</v>
      </c>
      <c r="W201" s="2"/>
      <c r="X201" s="9"/>
      <c r="Y201" s="9">
        <v>60</v>
      </c>
      <c r="Z201" s="9">
        <v>17</v>
      </c>
      <c r="AB201" s="9"/>
      <c r="AC201" s="9"/>
      <c r="AD201" s="9"/>
      <c r="AE201" s="9"/>
      <c r="AF201" s="9"/>
      <c r="AG201" s="9"/>
      <c r="AH201" s="9"/>
      <c r="AI201" s="9"/>
      <c r="AK201" s="9"/>
      <c r="AL201" s="9"/>
      <c r="AM201" s="9"/>
      <c r="AN201" s="9" t="s">
        <v>630</v>
      </c>
      <c r="AQ201" s="9">
        <v>62</v>
      </c>
      <c r="AR201" s="9" t="s">
        <v>955</v>
      </c>
      <c r="AS201" s="9">
        <v>62</v>
      </c>
      <c r="AT201" s="9" t="s">
        <v>956</v>
      </c>
      <c r="AU201" s="9">
        <v>8000</v>
      </c>
      <c r="AV201" s="9"/>
      <c r="AW201" s="9"/>
      <c r="AX201" s="9">
        <v>3250</v>
      </c>
      <c r="AY201" s="9" t="s">
        <v>1245</v>
      </c>
      <c r="AZ201" s="9" t="s">
        <v>630</v>
      </c>
      <c r="BA201" s="17"/>
      <c r="BB201" s="17"/>
      <c r="BC201" s="17"/>
      <c r="BD201" s="17"/>
      <c r="BE201" s="17"/>
      <c r="BF201" s="17"/>
      <c r="BG201" s="17"/>
    </row>
    <row r="202" spans="1:59">
      <c r="A202" s="2" t="s">
        <v>191</v>
      </c>
      <c r="B202" s="2" t="s">
        <v>191</v>
      </c>
      <c r="C202" s="2" t="s">
        <v>191</v>
      </c>
      <c r="D202" s="2" t="s">
        <v>271</v>
      </c>
      <c r="E202" s="2" t="s">
        <v>272</v>
      </c>
      <c r="F202" s="2">
        <v>1</v>
      </c>
      <c r="G202" s="2">
        <f>LOG(O202)</f>
        <v>2.2174839442139063</v>
      </c>
      <c r="H202" s="2">
        <f t="shared" si="102"/>
        <v>4.1702617153949575</v>
      </c>
      <c r="I202" s="2">
        <f>LOG(X202)</f>
        <v>0.47712125471966244</v>
      </c>
      <c r="J202" s="2">
        <f t="shared" si="101"/>
        <v>1.6483600109809315</v>
      </c>
      <c r="K202" s="2">
        <f>LOG(AG202)</f>
        <v>1.2108533653148932</v>
      </c>
      <c r="L202" s="2">
        <f t="shared" si="95"/>
        <v>1.6627578316815741</v>
      </c>
      <c r="M202" s="2">
        <f t="shared" si="93"/>
        <v>3.0970204834730053</v>
      </c>
      <c r="N202" s="2">
        <v>1</v>
      </c>
      <c r="O202" s="9">
        <v>165</v>
      </c>
      <c r="P202" s="14">
        <v>14</v>
      </c>
      <c r="Q202" s="9" t="s">
        <v>305</v>
      </c>
      <c r="R202" s="9" t="s">
        <v>306</v>
      </c>
      <c r="S202" s="13">
        <v>14800</v>
      </c>
      <c r="T202" s="8">
        <v>22</v>
      </c>
      <c r="U202" s="9" t="s">
        <v>305</v>
      </c>
      <c r="V202" s="2" t="s">
        <v>411</v>
      </c>
      <c r="W202" s="2" t="s">
        <v>307</v>
      </c>
      <c r="X202" s="9">
        <f>AVERAGE(4,4,1,3)</f>
        <v>3</v>
      </c>
      <c r="Y202" s="9">
        <f>AVERAGE(42,3,90,43)</f>
        <v>44.5</v>
      </c>
      <c r="Z202" s="9">
        <f>AVERAGE(16,53,1,39)</f>
        <v>27.25</v>
      </c>
      <c r="AA202" s="2">
        <f>Y202+Z202</f>
        <v>71.75</v>
      </c>
      <c r="AB202" s="9"/>
      <c r="AC202" s="9">
        <f>AVERAGE(12,14,3,7)</f>
        <v>9</v>
      </c>
      <c r="AD202" s="9"/>
      <c r="AE202" s="9">
        <f>AA202+AD202</f>
        <v>71.75</v>
      </c>
      <c r="AF202" s="9"/>
      <c r="AG202" s="9">
        <v>16.25</v>
      </c>
      <c r="AH202" s="9"/>
      <c r="AI202" s="9"/>
      <c r="AJ202" s="2">
        <f>AG202</f>
        <v>16.25</v>
      </c>
      <c r="AK202" s="9">
        <v>9</v>
      </c>
      <c r="AL202" s="9">
        <f>SUM(X202+AA202+AD202+AF202+AG202+AK202)</f>
        <v>100</v>
      </c>
      <c r="AM202" s="9" t="s">
        <v>458</v>
      </c>
      <c r="AN202" s="9" t="s">
        <v>628</v>
      </c>
      <c r="AQ202" s="9">
        <v>42</v>
      </c>
      <c r="AR202" s="9" t="s">
        <v>957</v>
      </c>
      <c r="AS202" s="9">
        <v>46</v>
      </c>
      <c r="AT202" s="9" t="s">
        <v>958</v>
      </c>
      <c r="AU202" s="9">
        <v>4400</v>
      </c>
      <c r="AV202" s="9"/>
      <c r="AW202" s="9"/>
      <c r="AX202" s="9">
        <v>1250.318</v>
      </c>
      <c r="AY202" s="9" t="s">
        <v>1246</v>
      </c>
      <c r="AZ202" s="9" t="s">
        <v>1247</v>
      </c>
      <c r="BA202" s="17"/>
      <c r="BB202" s="17"/>
      <c r="BC202" s="17"/>
      <c r="BD202" s="17"/>
      <c r="BE202" s="17"/>
      <c r="BF202" s="17"/>
      <c r="BG202" s="17"/>
    </row>
    <row r="203" spans="1:59">
      <c r="A203" s="2" t="s">
        <v>192</v>
      </c>
      <c r="B203" s="2" t="s">
        <v>192</v>
      </c>
      <c r="C203" s="2" t="s">
        <v>192</v>
      </c>
      <c r="E203" s="2" t="s">
        <v>277</v>
      </c>
      <c r="F203" s="2">
        <v>0</v>
      </c>
      <c r="G203" s="2">
        <f>LOG(O203)</f>
        <v>1.0968495081309584</v>
      </c>
      <c r="H203" s="2">
        <f t="shared" si="102"/>
        <v>2.9234619868297838</v>
      </c>
      <c r="I203" s="2">
        <f>LOG(X203)</f>
        <v>1.0413926851582251</v>
      </c>
      <c r="J203" s="2">
        <f t="shared" si="101"/>
        <v>1.8260748027008264</v>
      </c>
      <c r="L203" s="2">
        <f t="shared" si="95"/>
        <v>0.3010299956639812</v>
      </c>
      <c r="M203" s="2">
        <f t="shared" si="93"/>
        <v>1.4471580313422192</v>
      </c>
      <c r="N203" s="2">
        <v>0</v>
      </c>
      <c r="O203" s="12">
        <v>12.498258650952387</v>
      </c>
      <c r="P203" s="2">
        <v>122</v>
      </c>
      <c r="Q203" s="2" t="s">
        <v>316</v>
      </c>
      <c r="R203" s="9" t="s">
        <v>308</v>
      </c>
      <c r="S203" s="13">
        <v>838.4206896551724</v>
      </c>
      <c r="T203" s="8">
        <v>29</v>
      </c>
      <c r="U203" s="9" t="s">
        <v>316</v>
      </c>
      <c r="V203" s="9" t="s">
        <v>312</v>
      </c>
      <c r="W203" s="9" t="s">
        <v>311</v>
      </c>
      <c r="X203" s="9">
        <v>11</v>
      </c>
      <c r="Y203" s="9">
        <v>67</v>
      </c>
      <c r="Z203" s="9"/>
      <c r="AA203" s="2">
        <f>Y203+Z203</f>
        <v>67</v>
      </c>
      <c r="AB203" s="9">
        <v>0</v>
      </c>
      <c r="AC203" s="9">
        <v>0</v>
      </c>
      <c r="AD203" s="2">
        <f>AB203+AC203</f>
        <v>0</v>
      </c>
      <c r="AE203" s="9">
        <f>AA203+AD203</f>
        <v>67</v>
      </c>
      <c r="AF203" s="9">
        <v>22</v>
      </c>
      <c r="AG203" s="9">
        <v>0</v>
      </c>
      <c r="AH203" s="9">
        <v>0</v>
      </c>
      <c r="AI203" s="9">
        <v>0</v>
      </c>
      <c r="AJ203" s="2">
        <f>AG203</f>
        <v>0</v>
      </c>
      <c r="AK203" s="9">
        <v>0</v>
      </c>
      <c r="AL203" s="9">
        <f>SUM(X203+AA203+AD203+AF203+AG203+AK203)</f>
        <v>100</v>
      </c>
      <c r="AM203" s="9" t="s">
        <v>460</v>
      </c>
      <c r="AN203" s="9" t="s">
        <v>631</v>
      </c>
      <c r="AO203" s="9">
        <v>1.26</v>
      </c>
      <c r="AP203" s="9" t="s">
        <v>959</v>
      </c>
      <c r="AQ203" s="9"/>
      <c r="AR203" s="9"/>
      <c r="AS203" s="9">
        <v>2</v>
      </c>
      <c r="AT203" s="2" t="s">
        <v>720</v>
      </c>
      <c r="AU203" s="2">
        <v>2497</v>
      </c>
      <c r="AV203" s="9">
        <v>17.8</v>
      </c>
      <c r="AW203" s="9">
        <v>7.5</v>
      </c>
      <c r="AX203" s="9">
        <v>28</v>
      </c>
      <c r="AY203" s="9" t="s">
        <v>1248</v>
      </c>
      <c r="AZ203" s="9" t="s">
        <v>1249</v>
      </c>
      <c r="BA203" s="17"/>
      <c r="BB203" s="17"/>
      <c r="BC203" s="17"/>
      <c r="BD203" s="17"/>
      <c r="BE203" s="17"/>
      <c r="BF203" s="17"/>
      <c r="BG203" s="17"/>
    </row>
    <row r="204" spans="1:59">
      <c r="A204" s="2" t="s">
        <v>193</v>
      </c>
      <c r="B204" s="2" t="s">
        <v>1409</v>
      </c>
      <c r="C204" s="2" t="s">
        <v>193</v>
      </c>
      <c r="E204" s="2" t="s">
        <v>273</v>
      </c>
      <c r="F204" s="2">
        <v>0</v>
      </c>
      <c r="G204" s="2">
        <f>LOG(O204)</f>
        <v>0.82486886560654782</v>
      </c>
      <c r="H204" s="2">
        <f t="shared" si="102"/>
        <v>2.5301996982030821</v>
      </c>
      <c r="I204" s="2">
        <f>LOG(X204)</f>
        <v>0.97451169273732841</v>
      </c>
      <c r="J204" s="2">
        <f t="shared" si="101"/>
        <v>-0.32790214206428259</v>
      </c>
      <c r="L204" s="2">
        <f t="shared" si="95"/>
        <v>0.34242268082220628</v>
      </c>
      <c r="M204" s="2">
        <f t="shared" si="93"/>
        <v>0.65321251377534373</v>
      </c>
      <c r="N204" s="2">
        <v>0</v>
      </c>
      <c r="O204" s="12">
        <v>6.6814214285714284</v>
      </c>
      <c r="P204" s="2">
        <v>7</v>
      </c>
      <c r="Q204" s="2" t="s">
        <v>316</v>
      </c>
      <c r="R204" s="9" t="s">
        <v>308</v>
      </c>
      <c r="S204" s="13">
        <v>339</v>
      </c>
      <c r="T204" s="8">
        <v>14</v>
      </c>
      <c r="U204" s="9" t="s">
        <v>316</v>
      </c>
      <c r="V204" s="2" t="s">
        <v>306</v>
      </c>
      <c r="W204" s="18" t="s">
        <v>412</v>
      </c>
      <c r="X204" s="2">
        <v>9.43</v>
      </c>
      <c r="Y204" s="2">
        <v>0.47</v>
      </c>
      <c r="Z204" s="2">
        <v>0</v>
      </c>
      <c r="AA204" s="2">
        <f>Y204+Z204</f>
        <v>0.47</v>
      </c>
      <c r="AB204" s="2">
        <v>1.93</v>
      </c>
      <c r="AC204" s="2">
        <v>0</v>
      </c>
      <c r="AD204" s="2">
        <f>AB204+AC204</f>
        <v>1.93</v>
      </c>
      <c r="AE204" s="9">
        <f>AA204+AD204</f>
        <v>2.4</v>
      </c>
      <c r="AF204" s="2">
        <v>87.6</v>
      </c>
      <c r="AG204" s="2">
        <v>0</v>
      </c>
      <c r="AK204" s="2">
        <v>0.6</v>
      </c>
      <c r="AL204" s="9">
        <f>SUM(X204+AA204+AD204+AF204+AG204+AK204)</f>
        <v>100.02999999999999</v>
      </c>
      <c r="AM204" s="9" t="s">
        <v>517</v>
      </c>
      <c r="AN204" s="2" t="s">
        <v>632</v>
      </c>
      <c r="AO204" s="2">
        <v>3</v>
      </c>
      <c r="AP204" s="2" t="s">
        <v>960</v>
      </c>
      <c r="AQ204" s="2">
        <f>2.2</f>
        <v>2.2000000000000002</v>
      </c>
      <c r="AR204" s="2" t="s">
        <v>961</v>
      </c>
      <c r="AS204" s="2">
        <v>2.2000000000000002</v>
      </c>
      <c r="AT204" s="9" t="s">
        <v>962</v>
      </c>
      <c r="AU204" s="9">
        <v>3153.74</v>
      </c>
      <c r="AV204" s="2">
        <v>3.8</v>
      </c>
      <c r="AW204" s="2">
        <v>4</v>
      </c>
      <c r="AX204" s="9">
        <v>4.5</v>
      </c>
      <c r="AY204" s="2" t="s">
        <v>1250</v>
      </c>
      <c r="AZ204" s="9" t="s">
        <v>962</v>
      </c>
      <c r="BA204" s="16"/>
      <c r="BB204" s="16"/>
      <c r="BC204" s="16"/>
      <c r="BD204" s="16"/>
      <c r="BE204" s="16"/>
      <c r="BF204" s="16"/>
      <c r="BG204" s="16"/>
    </row>
    <row r="205" spans="1:59">
      <c r="A205" s="2" t="s">
        <v>194</v>
      </c>
      <c r="B205" s="2" t="s">
        <v>194</v>
      </c>
      <c r="C205" s="2" t="s">
        <v>194</v>
      </c>
      <c r="E205" s="2" t="s">
        <v>280</v>
      </c>
      <c r="F205" s="2">
        <v>0</v>
      </c>
      <c r="I205" s="2">
        <f>LOG(X205)</f>
        <v>-0.3979400086720376</v>
      </c>
      <c r="J205" s="2">
        <f t="shared" si="101"/>
        <v>1.6138418218760693</v>
      </c>
      <c r="K205" s="2">
        <f>LOG(AG205)</f>
        <v>1.2600713879850747</v>
      </c>
      <c r="N205" s="2">
        <v>1</v>
      </c>
      <c r="Q205" s="2"/>
      <c r="R205" s="9"/>
      <c r="S205" s="10"/>
      <c r="T205" s="10"/>
      <c r="U205" s="2"/>
      <c r="V205" s="2"/>
      <c r="W205" s="2"/>
      <c r="X205" s="2">
        <v>0.4</v>
      </c>
      <c r="Y205" s="2">
        <f>AVERAGE(50,34)-0.9</f>
        <v>41.1</v>
      </c>
      <c r="Z205" s="2">
        <f>AVERAGE(18.5,46.2)-0.9</f>
        <v>31.450000000000003</v>
      </c>
      <c r="AA205" s="2">
        <f>Y205+Z205</f>
        <v>72.550000000000011</v>
      </c>
      <c r="AB205" s="2">
        <v>1.5</v>
      </c>
      <c r="AC205" s="2">
        <v>6.5</v>
      </c>
      <c r="AD205" s="2">
        <f>AB205+AC205</f>
        <v>8</v>
      </c>
      <c r="AE205" s="9">
        <f>AA205+AD205</f>
        <v>80.550000000000011</v>
      </c>
      <c r="AF205" s="2">
        <v>0.8</v>
      </c>
      <c r="AG205" s="2">
        <v>18.2</v>
      </c>
      <c r="AH205" s="2">
        <f>AVERAGE(26.9,9.5)</f>
        <v>18.2</v>
      </c>
      <c r="AI205" s="2">
        <v>0</v>
      </c>
      <c r="AJ205" s="2">
        <f>AG205+1.5</f>
        <v>19.7</v>
      </c>
      <c r="AK205" s="2">
        <v>0</v>
      </c>
      <c r="AL205" s="9">
        <f>SUM(X205+AA205+AD205+AF205+AG205+AK205)</f>
        <v>99.950000000000017</v>
      </c>
      <c r="AM205" s="9" t="s">
        <v>458</v>
      </c>
      <c r="AN205" s="2" t="s">
        <v>633</v>
      </c>
      <c r="BA205" s="16"/>
      <c r="BB205" s="16"/>
      <c r="BC205" s="16"/>
      <c r="BD205" s="16"/>
      <c r="BE205" s="16"/>
      <c r="BF205" s="16"/>
      <c r="BG205" s="16"/>
    </row>
    <row r="206" spans="1:59">
      <c r="A206" s="2" t="s">
        <v>195</v>
      </c>
      <c r="B206" s="2" t="s">
        <v>195</v>
      </c>
      <c r="C206" s="2" t="s">
        <v>195</v>
      </c>
      <c r="E206" s="2" t="s">
        <v>280</v>
      </c>
      <c r="F206" s="2">
        <v>0</v>
      </c>
      <c r="G206" s="2">
        <f t="shared" ref="G206:G224" si="103">LOG(O206)</f>
        <v>1.5693739096150459</v>
      </c>
      <c r="H206" s="2">
        <f t="shared" si="102"/>
        <v>3.288361027472952</v>
      </c>
      <c r="L206" s="2">
        <f>LOG(AS206)</f>
        <v>0.48995847942483461</v>
      </c>
      <c r="N206" s="2">
        <v>1</v>
      </c>
      <c r="O206" s="12">
        <v>37.1</v>
      </c>
      <c r="P206" s="2">
        <v>11</v>
      </c>
      <c r="Q206" s="2" t="s">
        <v>316</v>
      </c>
      <c r="R206" s="9" t="s">
        <v>308</v>
      </c>
      <c r="S206" s="10">
        <v>1942.5</v>
      </c>
      <c r="T206" s="10"/>
      <c r="U206" s="9" t="s">
        <v>316</v>
      </c>
      <c r="V206" s="2" t="s">
        <v>413</v>
      </c>
      <c r="W206" s="2"/>
      <c r="Z206" s="2">
        <v>83</v>
      </c>
      <c r="AC206" s="2">
        <v>0.5</v>
      </c>
      <c r="AN206" s="2" t="s">
        <v>634</v>
      </c>
      <c r="AQ206" s="2">
        <f>(2.68+3.5)/2</f>
        <v>3.09</v>
      </c>
      <c r="AR206" s="2" t="s">
        <v>717</v>
      </c>
      <c r="AS206" s="2">
        <v>3.09</v>
      </c>
      <c r="AT206" s="2" t="s">
        <v>963</v>
      </c>
      <c r="BA206" s="16"/>
      <c r="BB206" s="16"/>
      <c r="BC206" s="16"/>
      <c r="BD206" s="16"/>
      <c r="BE206" s="16"/>
      <c r="BF206" s="16"/>
      <c r="BG206" s="16"/>
    </row>
    <row r="207" spans="1:59">
      <c r="A207" s="2" t="s">
        <v>196</v>
      </c>
      <c r="B207" s="2" t="s">
        <v>196</v>
      </c>
      <c r="C207" s="2" t="s">
        <v>196</v>
      </c>
      <c r="E207" s="2" t="s">
        <v>280</v>
      </c>
      <c r="F207" s="2">
        <v>0</v>
      </c>
      <c r="G207" s="2">
        <f t="shared" si="103"/>
        <v>1.5579622443352699</v>
      </c>
      <c r="H207" s="2">
        <f t="shared" si="102"/>
        <v>3.3603514403977202</v>
      </c>
      <c r="J207" s="2">
        <f t="shared" ref="J207:J214" si="104">LOG(Y207)</f>
        <v>1.7403626894942439</v>
      </c>
      <c r="K207" s="2">
        <f t="shared" ref="K207:K214" si="105">LOG(AG207)</f>
        <v>0.6020599913279624</v>
      </c>
      <c r="L207" s="2">
        <f>LOG(AS207)</f>
        <v>0.57403126772771884</v>
      </c>
      <c r="M207" s="2">
        <f>LOG(AX207)</f>
        <v>1.3961993470957363</v>
      </c>
      <c r="N207" s="2">
        <v>1</v>
      </c>
      <c r="O207" s="12">
        <v>36.137844461092605</v>
      </c>
      <c r="P207" s="2">
        <v>30</v>
      </c>
      <c r="Q207" s="2" t="s">
        <v>316</v>
      </c>
      <c r="R207" s="9" t="s">
        <v>308</v>
      </c>
      <c r="S207" s="13">
        <v>2292.7222222222222</v>
      </c>
      <c r="T207" s="8">
        <v>9</v>
      </c>
      <c r="U207" s="9" t="s">
        <v>316</v>
      </c>
      <c r="V207" s="9" t="s">
        <v>312</v>
      </c>
      <c r="W207" s="9" t="s">
        <v>311</v>
      </c>
      <c r="X207" s="2">
        <v>0</v>
      </c>
      <c r="Y207" s="2">
        <v>55</v>
      </c>
      <c r="Z207" s="2">
        <v>38</v>
      </c>
      <c r="AA207" s="2">
        <f t="shared" ref="AA207:AA214" si="106">Y207+Z207</f>
        <v>93</v>
      </c>
      <c r="AC207" s="2">
        <v>3</v>
      </c>
      <c r="AD207" s="2">
        <f t="shared" ref="AD207:AD214" si="107">AB207+AC207</f>
        <v>3</v>
      </c>
      <c r="AG207" s="2">
        <v>4</v>
      </c>
      <c r="AH207" s="2">
        <v>4</v>
      </c>
      <c r="AJ207" s="2">
        <f>AG207</f>
        <v>4</v>
      </c>
      <c r="AK207" s="2">
        <v>0</v>
      </c>
      <c r="AL207" s="9">
        <f>SUM(X207+AA207+AD207+AF207+AG207+AK207)</f>
        <v>100</v>
      </c>
      <c r="AN207" s="2" t="s">
        <v>635</v>
      </c>
      <c r="AQ207" s="2">
        <v>3.75</v>
      </c>
      <c r="AR207" s="2" t="s">
        <v>964</v>
      </c>
      <c r="AS207" s="2">
        <v>3.75</v>
      </c>
      <c r="AT207" s="2" t="s">
        <v>413</v>
      </c>
      <c r="AX207" s="2">
        <v>24.9</v>
      </c>
      <c r="AY207" s="2" t="s">
        <v>1251</v>
      </c>
      <c r="AZ207" s="2" t="s">
        <v>1252</v>
      </c>
      <c r="BA207" s="16"/>
      <c r="BB207" s="16"/>
      <c r="BC207" s="16"/>
      <c r="BD207" s="16"/>
      <c r="BE207" s="16"/>
      <c r="BF207" s="16"/>
      <c r="BG207" s="16"/>
    </row>
    <row r="208" spans="1:59">
      <c r="A208" s="2" t="s">
        <v>197</v>
      </c>
      <c r="B208" s="2" t="s">
        <v>197</v>
      </c>
      <c r="C208" s="2" t="s">
        <v>197</v>
      </c>
      <c r="E208" s="2" t="s">
        <v>280</v>
      </c>
      <c r="F208" s="2">
        <v>0</v>
      </c>
      <c r="G208" s="2">
        <f t="shared" si="103"/>
        <v>1.4979559680640517</v>
      </c>
      <c r="H208" s="2">
        <f t="shared" si="102"/>
        <v>3.2145789535704989</v>
      </c>
      <c r="I208" s="2">
        <f>LOG(X208)</f>
        <v>0.47712125471966244</v>
      </c>
      <c r="J208" s="2">
        <f t="shared" si="104"/>
        <v>1.4683473304121573</v>
      </c>
      <c r="K208" s="2">
        <f t="shared" si="105"/>
        <v>0.94200805302231327</v>
      </c>
      <c r="L208" s="2">
        <f>LOG(AS208)</f>
        <v>0.64713836606315045</v>
      </c>
      <c r="M208" s="2">
        <f>LOG(AX208)</f>
        <v>1.1072099696478683</v>
      </c>
      <c r="N208" s="2">
        <v>1</v>
      </c>
      <c r="O208" s="12">
        <v>31.474291886416381</v>
      </c>
      <c r="P208" s="2">
        <v>36</v>
      </c>
      <c r="Q208" s="2" t="s">
        <v>316</v>
      </c>
      <c r="R208" s="9" t="s">
        <v>308</v>
      </c>
      <c r="S208" s="13">
        <v>1639</v>
      </c>
      <c r="T208" s="8">
        <v>10</v>
      </c>
      <c r="U208" s="9" t="s">
        <v>316</v>
      </c>
      <c r="V208" s="9" t="s">
        <v>312</v>
      </c>
      <c r="W208" s="9" t="s">
        <v>311</v>
      </c>
      <c r="X208" s="2">
        <v>3</v>
      </c>
      <c r="Y208" s="2">
        <f>AVERAGE(31,27.8)</f>
        <v>29.4</v>
      </c>
      <c r="Z208" s="2">
        <f>AVERAGE(53.3,60.6)-0.2</f>
        <v>56.75</v>
      </c>
      <c r="AA208" s="2">
        <f t="shared" si="106"/>
        <v>86.15</v>
      </c>
      <c r="AC208" s="2">
        <f>2.1</f>
        <v>2.1</v>
      </c>
      <c r="AD208" s="2">
        <f t="shared" si="107"/>
        <v>2.1</v>
      </c>
      <c r="AE208" s="9">
        <f t="shared" ref="AE208:AE214" si="108">AA208+AD208</f>
        <v>88.25</v>
      </c>
      <c r="AG208" s="2">
        <v>8.75</v>
      </c>
      <c r="AJ208" s="2">
        <f>AG208</f>
        <v>8.75</v>
      </c>
      <c r="AK208" s="2">
        <v>0</v>
      </c>
      <c r="AL208" s="9">
        <f>SUM(X208+AA208+AD208+AF208+AG208+AK208)</f>
        <v>100</v>
      </c>
      <c r="AM208" s="9" t="s">
        <v>458</v>
      </c>
      <c r="AN208" s="2" t="s">
        <v>636</v>
      </c>
      <c r="AQ208" s="2">
        <f>AVERAGE(2.8, 4.8, 3.3, 2.7, 3.7, 2.3, 9, 6.9)</f>
        <v>4.4375</v>
      </c>
      <c r="AR208" s="2" t="s">
        <v>965</v>
      </c>
      <c r="AS208" s="2">
        <v>4.4375</v>
      </c>
      <c r="AT208" s="2" t="s">
        <v>413</v>
      </c>
      <c r="AU208" s="2">
        <v>1104</v>
      </c>
      <c r="AX208" s="2">
        <v>12.8</v>
      </c>
      <c r="AY208" s="2" t="s">
        <v>1253</v>
      </c>
      <c r="AZ208" s="2" t="s">
        <v>413</v>
      </c>
      <c r="BA208" s="16"/>
      <c r="BB208" s="16"/>
      <c r="BC208" s="16"/>
      <c r="BD208" s="16"/>
      <c r="BE208" s="16"/>
      <c r="BF208" s="16"/>
      <c r="BG208" s="16"/>
    </row>
    <row r="209" spans="1:59">
      <c r="A209" s="2" t="s">
        <v>198</v>
      </c>
      <c r="B209" s="2" t="s">
        <v>198</v>
      </c>
      <c r="C209" s="2" t="s">
        <v>198</v>
      </c>
      <c r="E209" s="2" t="s">
        <v>299</v>
      </c>
      <c r="F209" s="2">
        <v>0</v>
      </c>
      <c r="G209" s="2">
        <f t="shared" si="103"/>
        <v>2.5391491718752266</v>
      </c>
      <c r="H209" s="2">
        <f t="shared" si="102"/>
        <v>4.6143487311625693</v>
      </c>
      <c r="I209" s="2">
        <f>LOG(X209)</f>
        <v>1.0569048513364727</v>
      </c>
      <c r="J209" s="2">
        <f t="shared" si="104"/>
        <v>1.8275846434931029</v>
      </c>
      <c r="K209" s="2">
        <f t="shared" si="105"/>
        <v>1.2209792909037274</v>
      </c>
      <c r="L209" s="2">
        <f>LOG(AS209)</f>
        <v>0.23044892137827391</v>
      </c>
      <c r="M209" s="2">
        <f>LOG(AX209)</f>
        <v>3.2240148113728639</v>
      </c>
      <c r="N209" s="2">
        <v>1</v>
      </c>
      <c r="O209" s="12">
        <v>346.05822181663689</v>
      </c>
      <c r="P209" s="2">
        <v>14</v>
      </c>
      <c r="Q209" s="9" t="s">
        <v>305</v>
      </c>
      <c r="R209" s="9" t="s">
        <v>308</v>
      </c>
      <c r="S209" s="8">
        <v>41148</v>
      </c>
      <c r="T209" s="10">
        <v>7</v>
      </c>
      <c r="U209" s="9" t="s">
        <v>305</v>
      </c>
      <c r="V209" s="9" t="s">
        <v>312</v>
      </c>
      <c r="W209" s="9" t="s">
        <v>311</v>
      </c>
      <c r="X209" s="9">
        <f>AVERAGE(13.4,8.8,12)</f>
        <v>11.4</v>
      </c>
      <c r="Y209" s="9">
        <f>AVERAGE(66.2,67.5,68)</f>
        <v>67.233333333333334</v>
      </c>
      <c r="Z209" s="9"/>
      <c r="AA209" s="2">
        <f t="shared" si="106"/>
        <v>67.233333333333334</v>
      </c>
      <c r="AB209" s="9"/>
      <c r="AC209" s="9">
        <f>AVERAGE(2,3.5)</f>
        <v>2.75</v>
      </c>
      <c r="AD209" s="2">
        <f t="shared" si="107"/>
        <v>2.75</v>
      </c>
      <c r="AE209" s="9">
        <f t="shared" si="108"/>
        <v>69.983333333333334</v>
      </c>
      <c r="AF209" s="9"/>
      <c r="AG209" s="9">
        <v>16.633333333333333</v>
      </c>
      <c r="AH209" s="9"/>
      <c r="AI209" s="9"/>
      <c r="AJ209" s="12">
        <f>AG209+AVERAGE(1.1,2.7)</f>
        <v>18.533333333333331</v>
      </c>
      <c r="AK209" s="9">
        <v>0.1</v>
      </c>
      <c r="AL209" s="9">
        <f>X209+Y209+AC209+AJ209+AK209</f>
        <v>100.01666666666667</v>
      </c>
      <c r="AM209" s="9" t="s">
        <v>458</v>
      </c>
      <c r="AN209" s="9" t="s">
        <v>637</v>
      </c>
      <c r="AO209" s="9"/>
      <c r="AP209" s="9"/>
      <c r="AQ209" s="9">
        <v>1.7</v>
      </c>
      <c r="AR209" s="9" t="s">
        <v>833</v>
      </c>
      <c r="AS209" s="9">
        <v>1.7</v>
      </c>
      <c r="AT209" s="9" t="s">
        <v>966</v>
      </c>
      <c r="AU209" s="9">
        <v>938</v>
      </c>
      <c r="AV209" s="9">
        <v>2500</v>
      </c>
      <c r="AW209" s="9">
        <v>850</v>
      </c>
      <c r="AX209" s="9">
        <v>1675</v>
      </c>
      <c r="AY209" s="9" t="s">
        <v>1254</v>
      </c>
      <c r="AZ209" s="2" t="s">
        <v>1255</v>
      </c>
      <c r="BA209" s="17"/>
      <c r="BB209" s="17"/>
      <c r="BC209" s="17"/>
      <c r="BD209" s="17"/>
      <c r="BE209" s="17"/>
      <c r="BF209" s="17"/>
      <c r="BG209" s="17"/>
    </row>
    <row r="210" spans="1:59">
      <c r="A210" s="2" t="s">
        <v>199</v>
      </c>
      <c r="B210" s="2" t="s">
        <v>199</v>
      </c>
      <c r="C210" s="2" t="s">
        <v>199</v>
      </c>
      <c r="E210" s="2" t="s">
        <v>299</v>
      </c>
      <c r="F210" s="2">
        <v>0</v>
      </c>
      <c r="G210" s="2">
        <f t="shared" si="103"/>
        <v>2.5309215852509226</v>
      </c>
      <c r="H210" s="2">
        <f t="shared" si="102"/>
        <v>4.5675866606722888</v>
      </c>
      <c r="I210" s="2">
        <f>LOG(X210)</f>
        <v>0.75281643118827135</v>
      </c>
      <c r="J210" s="2">
        <f t="shared" si="104"/>
        <v>1.8345796403646981</v>
      </c>
      <c r="K210" s="2">
        <f t="shared" si="105"/>
        <v>1.1667260555800518</v>
      </c>
      <c r="L210" s="2">
        <f>LOG(AS210)</f>
        <v>6.7256889238149764E-2</v>
      </c>
      <c r="M210" s="2">
        <f>LOG(AX210)</f>
        <v>2.3081373786380386</v>
      </c>
      <c r="N210" s="2">
        <v>1</v>
      </c>
      <c r="O210" s="12">
        <v>339.5639565306239</v>
      </c>
      <c r="P210" s="2">
        <v>54</v>
      </c>
      <c r="Q210" s="9" t="s">
        <v>305</v>
      </c>
      <c r="R210" s="9" t="s">
        <v>308</v>
      </c>
      <c r="S210" s="8">
        <v>36947.63636363636</v>
      </c>
      <c r="T210" s="10">
        <v>11</v>
      </c>
      <c r="U210" s="9" t="s">
        <v>305</v>
      </c>
      <c r="V210" s="9" t="s">
        <v>312</v>
      </c>
      <c r="W210" s="9" t="s">
        <v>311</v>
      </c>
      <c r="X210" s="9">
        <f>AVERAGE(8.6,6.3,4.3,3.7,5.4)</f>
        <v>5.6599999999999993</v>
      </c>
      <c r="Y210" s="9">
        <f>AVERAGE(73.8,68.6,60.9,70)</f>
        <v>68.324999999999989</v>
      </c>
      <c r="Z210" s="9"/>
      <c r="AA210" s="2">
        <f t="shared" si="106"/>
        <v>68.324999999999989</v>
      </c>
      <c r="AB210" s="9"/>
      <c r="AC210" s="9">
        <f>AVERAGE(9,5.9,3.9,5.1,7.4)</f>
        <v>6.26</v>
      </c>
      <c r="AD210" s="2">
        <f t="shared" si="107"/>
        <v>6.26</v>
      </c>
      <c r="AE210" s="9">
        <f t="shared" si="108"/>
        <v>74.584999999999994</v>
      </c>
      <c r="AF210" s="9"/>
      <c r="AG210" s="9">
        <v>14.680000000000001</v>
      </c>
      <c r="AH210" s="9">
        <f>AVERAGE(11.7)</f>
        <v>11.7</v>
      </c>
      <c r="AI210" s="9">
        <f>AVERAGE(4.8)</f>
        <v>4.8</v>
      </c>
      <c r="AJ210" s="9">
        <f>AG210+AVERAGE(1.5,1,11.4,4.9,1.9)</f>
        <v>18.82</v>
      </c>
      <c r="AK210" s="9">
        <v>0.9</v>
      </c>
      <c r="AL210" s="9">
        <f>X210+Y210+AC210+AJ210+AK210</f>
        <v>99.965000000000003</v>
      </c>
      <c r="AM210" s="9" t="s">
        <v>458</v>
      </c>
      <c r="AN210" s="9" t="s">
        <v>638</v>
      </c>
      <c r="AO210" s="9"/>
      <c r="AP210" s="9"/>
      <c r="AQ210" s="9">
        <f>AVERAGE(1.25,1.2,1.05,1.17)</f>
        <v>1.1675</v>
      </c>
      <c r="AR210" s="9" t="s">
        <v>833</v>
      </c>
      <c r="AS210" s="9">
        <v>1.1675</v>
      </c>
      <c r="AT210" s="9" t="s">
        <v>967</v>
      </c>
      <c r="AU210" s="9">
        <f>AVERAGE(180,430,162,305,850,710)</f>
        <v>439.5</v>
      </c>
      <c r="AV210" s="9" t="s">
        <v>1256</v>
      </c>
      <c r="AW210" s="9">
        <v>475</v>
      </c>
      <c r="AX210" s="9">
        <v>203.3</v>
      </c>
      <c r="AY210" s="9" t="s">
        <v>1257</v>
      </c>
      <c r="AZ210" s="2" t="s">
        <v>1258</v>
      </c>
      <c r="BA210" s="17"/>
      <c r="BB210" s="17"/>
      <c r="BC210" s="17"/>
      <c r="BD210" s="17"/>
      <c r="BE210" s="17"/>
      <c r="BF210" s="17"/>
      <c r="BG210" s="17"/>
    </row>
    <row r="211" spans="1:59">
      <c r="A211" s="2" t="s">
        <v>1361</v>
      </c>
      <c r="E211" s="2" t="s">
        <v>299</v>
      </c>
      <c r="F211" s="2">
        <v>0</v>
      </c>
      <c r="G211" s="2">
        <f t="shared" si="103"/>
        <v>2.5186909527914478</v>
      </c>
      <c r="H211" s="2">
        <f t="shared" si="102"/>
        <v>4.5740003834664416</v>
      </c>
      <c r="I211" s="2">
        <f>LOG(X211)</f>
        <v>-4.5757490560675115E-2</v>
      </c>
      <c r="J211" s="2">
        <f t="shared" si="104"/>
        <v>1.7846172926328754</v>
      </c>
      <c r="K211" s="2">
        <f t="shared" si="105"/>
        <v>1.414973347970818</v>
      </c>
      <c r="N211" s="2">
        <v>1</v>
      </c>
      <c r="O211" s="12">
        <v>330.13453122243641</v>
      </c>
      <c r="P211" s="2">
        <v>4</v>
      </c>
      <c r="Q211" s="9" t="s">
        <v>305</v>
      </c>
      <c r="R211" s="9" t="s">
        <v>308</v>
      </c>
      <c r="S211" s="8">
        <v>37497.333333333336</v>
      </c>
      <c r="T211" s="10">
        <v>3</v>
      </c>
      <c r="U211" s="9" t="s">
        <v>305</v>
      </c>
      <c r="V211" s="9" t="s">
        <v>312</v>
      </c>
      <c r="W211" s="9" t="s">
        <v>383</v>
      </c>
      <c r="X211" s="9">
        <v>0.9</v>
      </c>
      <c r="Y211" s="9">
        <f>AVERAGE(68,53.8)</f>
        <v>60.9</v>
      </c>
      <c r="Z211" s="9"/>
      <c r="AA211" s="2">
        <f t="shared" si="106"/>
        <v>60.9</v>
      </c>
      <c r="AB211" s="9"/>
      <c r="AC211" s="9">
        <v>1</v>
      </c>
      <c r="AD211" s="2">
        <f t="shared" si="107"/>
        <v>1</v>
      </c>
      <c r="AE211" s="9">
        <f t="shared" si="108"/>
        <v>61.9</v>
      </c>
      <c r="AF211" s="9"/>
      <c r="AG211" s="9">
        <v>26</v>
      </c>
      <c r="AH211" s="9">
        <v>21</v>
      </c>
      <c r="AI211" s="9">
        <v>2</v>
      </c>
      <c r="AJ211" s="9">
        <f>AG211+AVERAGE(7,14.2)</f>
        <v>36.6</v>
      </c>
      <c r="AK211" s="9">
        <v>0.6</v>
      </c>
      <c r="AL211" s="9">
        <f>X211+Y211+AC211+AJ211+AK211</f>
        <v>100</v>
      </c>
      <c r="AM211" s="9" t="s">
        <v>458</v>
      </c>
      <c r="AN211" s="9" t="s">
        <v>639</v>
      </c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BA211" s="17"/>
      <c r="BB211" s="17"/>
      <c r="BC211" s="17"/>
      <c r="BD211" s="17"/>
      <c r="BE211" s="17"/>
      <c r="BF211" s="17"/>
      <c r="BG211" s="17"/>
    </row>
    <row r="212" spans="1:59">
      <c r="A212" s="2" t="s">
        <v>1362</v>
      </c>
      <c r="E212" s="2" t="s">
        <v>299</v>
      </c>
      <c r="F212" s="2">
        <v>0</v>
      </c>
      <c r="G212" s="2">
        <f t="shared" si="103"/>
        <v>2.527153484845643</v>
      </c>
      <c r="H212" s="2">
        <f t="shared" si="102"/>
        <v>4.5651568827380222</v>
      </c>
      <c r="I212" s="2">
        <f>LOG(X212)</f>
        <v>0.75281643118827135</v>
      </c>
      <c r="J212" s="2">
        <f t="shared" si="104"/>
        <v>1.8345796403646981</v>
      </c>
      <c r="K212" s="2">
        <f t="shared" si="105"/>
        <v>1.1667260555800518</v>
      </c>
      <c r="N212" s="2">
        <v>1</v>
      </c>
      <c r="O212" s="12">
        <v>336.63051759213158</v>
      </c>
      <c r="P212" s="2">
        <v>30</v>
      </c>
      <c r="Q212" s="9" t="s">
        <v>305</v>
      </c>
      <c r="R212" s="9" t="s">
        <v>308</v>
      </c>
      <c r="S212" s="8">
        <v>36741.5</v>
      </c>
      <c r="T212" s="10">
        <v>8</v>
      </c>
      <c r="U212" s="9" t="s">
        <v>305</v>
      </c>
      <c r="V212" s="9" t="s">
        <v>312</v>
      </c>
      <c r="W212" s="9" t="s">
        <v>383</v>
      </c>
      <c r="X212" s="9">
        <f>AVERAGE(8.6,6.3,4.3,3.7,5.4)</f>
        <v>5.6599999999999993</v>
      </c>
      <c r="Y212" s="9">
        <f>AVERAGE(73.8,68.6,60.9,70)</f>
        <v>68.324999999999989</v>
      </c>
      <c r="Z212" s="9"/>
      <c r="AA212" s="2">
        <f t="shared" si="106"/>
        <v>68.324999999999989</v>
      </c>
      <c r="AB212" s="9"/>
      <c r="AC212" s="9">
        <f>AVERAGE(9,5.9,3.9,5.1,7.4)</f>
        <v>6.26</v>
      </c>
      <c r="AD212" s="2">
        <f t="shared" si="107"/>
        <v>6.26</v>
      </c>
      <c r="AE212" s="9">
        <f t="shared" si="108"/>
        <v>74.584999999999994</v>
      </c>
      <c r="AF212" s="9"/>
      <c r="AG212" s="9">
        <v>14.680000000000001</v>
      </c>
      <c r="AH212" s="9">
        <f>AVERAGE(11.7)</f>
        <v>11.7</v>
      </c>
      <c r="AI212" s="9">
        <f>AVERAGE(4.8)</f>
        <v>4.8</v>
      </c>
      <c r="AJ212" s="9">
        <f>AG212+AVERAGE(1.5,1,11.4,4.9,1.9)</f>
        <v>18.82</v>
      </c>
      <c r="AK212" s="9">
        <v>0.9</v>
      </c>
      <c r="AL212" s="9">
        <f>X212+Y212+AC212+AJ212+AK212</f>
        <v>99.965000000000003</v>
      </c>
      <c r="AM212" s="9" t="s">
        <v>458</v>
      </c>
      <c r="AN212" s="9" t="s">
        <v>638</v>
      </c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BA212" s="17"/>
      <c r="BB212" s="17"/>
      <c r="BC212" s="17"/>
      <c r="BD212" s="17"/>
      <c r="BE212" s="17"/>
      <c r="BF212" s="17"/>
      <c r="BG212" s="17"/>
    </row>
    <row r="213" spans="1:59">
      <c r="A213" s="2" t="s">
        <v>200</v>
      </c>
      <c r="B213" s="2" t="s">
        <v>200</v>
      </c>
      <c r="C213" s="2" t="s">
        <v>200</v>
      </c>
      <c r="D213" s="2" t="s">
        <v>292</v>
      </c>
      <c r="E213" s="2" t="s">
        <v>272</v>
      </c>
      <c r="F213" s="2">
        <v>0</v>
      </c>
      <c r="G213" s="2">
        <f t="shared" si="103"/>
        <v>1.8325089127062364</v>
      </c>
      <c r="H213" s="2">
        <f t="shared" si="102"/>
        <v>3.8267225201689921</v>
      </c>
      <c r="J213" s="2">
        <f t="shared" si="104"/>
        <v>1</v>
      </c>
      <c r="K213" s="2">
        <f t="shared" si="105"/>
        <v>1.8260748027008264</v>
      </c>
      <c r="L213" s="2">
        <f t="shared" ref="L213:L226" si="109">LOG(AS213)</f>
        <v>0.90308998699194354</v>
      </c>
      <c r="M213" s="2">
        <f>LOG(AX213)</f>
        <v>1.5797835966168101</v>
      </c>
      <c r="N213" s="2">
        <v>1</v>
      </c>
      <c r="O213" s="12">
        <v>68</v>
      </c>
      <c r="P213" s="2">
        <v>9</v>
      </c>
      <c r="Q213" s="9" t="s">
        <v>305</v>
      </c>
      <c r="R213" s="9" t="s">
        <v>308</v>
      </c>
      <c r="S213" s="10">
        <v>6710</v>
      </c>
      <c r="T213" s="10">
        <v>6</v>
      </c>
      <c r="U213" s="9" t="s">
        <v>305</v>
      </c>
      <c r="V213" s="2" t="s">
        <v>306</v>
      </c>
      <c r="W213" s="2" t="s">
        <v>386</v>
      </c>
      <c r="X213" s="2">
        <v>0</v>
      </c>
      <c r="Y213" s="2">
        <f>AVERAGE(14,6)</f>
        <v>10</v>
      </c>
      <c r="Z213" s="2">
        <v>1.5</v>
      </c>
      <c r="AA213" s="2">
        <f t="shared" si="106"/>
        <v>11.5</v>
      </c>
      <c r="AC213" s="2">
        <f>AVERAGE(1,17)</f>
        <v>9</v>
      </c>
      <c r="AD213" s="2">
        <f t="shared" si="107"/>
        <v>9</v>
      </c>
      <c r="AE213" s="9">
        <f t="shared" si="108"/>
        <v>20.5</v>
      </c>
      <c r="AG213" s="2">
        <v>67</v>
      </c>
      <c r="AH213" s="2">
        <v>61</v>
      </c>
      <c r="AI213" s="2">
        <v>6</v>
      </c>
      <c r="AJ213" s="2">
        <f>AG213</f>
        <v>67</v>
      </c>
      <c r="AK213" s="2">
        <v>12.5</v>
      </c>
      <c r="AL213" s="9">
        <f>SUM(X213+AA213+AD213+AF213+AG213+AK213)</f>
        <v>100</v>
      </c>
      <c r="AM213" s="9" t="s">
        <v>495</v>
      </c>
      <c r="AN213" s="9" t="s">
        <v>640</v>
      </c>
      <c r="AQ213" s="2">
        <v>8</v>
      </c>
      <c r="AS213" s="2">
        <v>8</v>
      </c>
      <c r="AT213" s="9" t="s">
        <v>641</v>
      </c>
      <c r="AU213" s="9"/>
      <c r="AX213" s="2">
        <v>38</v>
      </c>
      <c r="AY213" s="2" t="s">
        <v>1259</v>
      </c>
      <c r="AZ213" s="9" t="s">
        <v>1027</v>
      </c>
      <c r="BA213" s="16"/>
      <c r="BB213" s="16"/>
      <c r="BC213" s="16"/>
      <c r="BD213" s="16"/>
      <c r="BE213" s="16"/>
      <c r="BF213" s="16"/>
      <c r="BG213" s="16"/>
    </row>
    <row r="214" spans="1:59">
      <c r="A214" s="2" t="s">
        <v>201</v>
      </c>
      <c r="B214" s="2" t="s">
        <v>201</v>
      </c>
      <c r="C214" s="2" t="s">
        <v>201</v>
      </c>
      <c r="D214" s="2" t="s">
        <v>292</v>
      </c>
      <c r="E214" s="2" t="s">
        <v>272</v>
      </c>
      <c r="F214" s="2">
        <v>0</v>
      </c>
      <c r="G214" s="2">
        <f t="shared" si="103"/>
        <v>1.8465391243720737</v>
      </c>
      <c r="H214" s="2">
        <f t="shared" si="102"/>
        <v>3.8327515388951183</v>
      </c>
      <c r="J214" s="2">
        <f t="shared" si="104"/>
        <v>1.7634279935629373</v>
      </c>
      <c r="K214" s="2">
        <f t="shared" si="105"/>
        <v>1.4623979978989561</v>
      </c>
      <c r="L214" s="2">
        <f t="shared" si="109"/>
        <v>1.0413926851582251</v>
      </c>
      <c r="M214" s="2">
        <f>LOG(AX214)</f>
        <v>1.3424226808222062</v>
      </c>
      <c r="N214" s="2">
        <v>1</v>
      </c>
      <c r="O214" s="12">
        <v>70.232661152095702</v>
      </c>
      <c r="P214" s="2">
        <v>5</v>
      </c>
      <c r="Q214" s="9" t="s">
        <v>305</v>
      </c>
      <c r="R214" s="9" t="s">
        <v>306</v>
      </c>
      <c r="S214" s="8">
        <v>6803.8</v>
      </c>
      <c r="T214" s="10">
        <v>5</v>
      </c>
      <c r="U214" s="9" t="s">
        <v>305</v>
      </c>
      <c r="V214" s="9" t="s">
        <v>312</v>
      </c>
      <c r="W214" s="9" t="s">
        <v>311</v>
      </c>
      <c r="X214" s="2">
        <v>0</v>
      </c>
      <c r="Y214" s="2">
        <v>58</v>
      </c>
      <c r="AA214" s="2">
        <f t="shared" si="106"/>
        <v>58</v>
      </c>
      <c r="AC214" s="2">
        <v>1</v>
      </c>
      <c r="AD214" s="2">
        <f t="shared" si="107"/>
        <v>1</v>
      </c>
      <c r="AE214" s="9">
        <f t="shared" si="108"/>
        <v>59</v>
      </c>
      <c r="AG214" s="2">
        <v>29</v>
      </c>
      <c r="AH214" s="2">
        <v>26</v>
      </c>
      <c r="AI214" s="2">
        <v>3</v>
      </c>
      <c r="AJ214" s="2">
        <f>AG214</f>
        <v>29</v>
      </c>
      <c r="AK214" s="2">
        <v>12</v>
      </c>
      <c r="AL214" s="9">
        <f>SUM(X214+AA214+AD214+AF214+AG214+AK214)</f>
        <v>100</v>
      </c>
      <c r="AM214" s="9" t="s">
        <v>460</v>
      </c>
      <c r="AN214" s="9" t="s">
        <v>641</v>
      </c>
      <c r="AQ214" s="2">
        <v>11</v>
      </c>
      <c r="AR214" s="2" t="s">
        <v>968</v>
      </c>
      <c r="AS214" s="2">
        <v>11</v>
      </c>
      <c r="AT214" s="9" t="s">
        <v>969</v>
      </c>
      <c r="AU214" s="9"/>
      <c r="AX214" s="2">
        <v>22</v>
      </c>
      <c r="AY214" s="2" t="s">
        <v>1260</v>
      </c>
      <c r="BA214" s="16"/>
      <c r="BB214" s="16"/>
      <c r="BC214" s="16"/>
      <c r="BD214" s="16"/>
      <c r="BE214" s="16"/>
      <c r="BF214" s="16"/>
      <c r="BG214" s="16"/>
    </row>
    <row r="215" spans="1:59">
      <c r="A215" s="2" t="s">
        <v>202</v>
      </c>
      <c r="B215" s="2" t="s">
        <v>202</v>
      </c>
      <c r="C215" s="2" t="s">
        <v>202</v>
      </c>
      <c r="D215" s="2" t="s">
        <v>292</v>
      </c>
      <c r="E215" s="2" t="s">
        <v>272</v>
      </c>
      <c r="F215" s="2">
        <v>0</v>
      </c>
      <c r="G215" s="2">
        <f t="shared" si="103"/>
        <v>1.864072395049406</v>
      </c>
      <c r="H215" s="2">
        <f t="shared" si="102"/>
        <v>3.7535830588929064</v>
      </c>
      <c r="L215" s="2">
        <f t="shared" si="109"/>
        <v>0.77815125038364363</v>
      </c>
      <c r="N215" s="2">
        <v>1</v>
      </c>
      <c r="O215" s="12">
        <v>73.126097142857134</v>
      </c>
      <c r="P215" s="2">
        <v>7</v>
      </c>
      <c r="Q215" s="9" t="s">
        <v>305</v>
      </c>
      <c r="R215" s="9" t="s">
        <v>308</v>
      </c>
      <c r="S215" s="10">
        <v>5670</v>
      </c>
      <c r="T215" s="10">
        <v>8</v>
      </c>
      <c r="U215" s="2" t="s">
        <v>305</v>
      </c>
      <c r="V215" s="2" t="s">
        <v>307</v>
      </c>
      <c r="W215" s="2" t="s">
        <v>414</v>
      </c>
      <c r="AQ215" s="2">
        <v>6</v>
      </c>
      <c r="AR215" s="2" t="s">
        <v>970</v>
      </c>
      <c r="AS215" s="2">
        <v>6</v>
      </c>
      <c r="AT215" s="9" t="s">
        <v>971</v>
      </c>
      <c r="AU215" s="9"/>
      <c r="AY215" s="2" t="s">
        <v>1261</v>
      </c>
      <c r="AZ215" s="2" t="s">
        <v>1262</v>
      </c>
      <c r="BA215" s="16"/>
      <c r="BB215" s="16"/>
      <c r="BC215" s="16"/>
      <c r="BD215" s="16"/>
      <c r="BE215" s="16"/>
      <c r="BF215" s="16"/>
      <c r="BG215" s="16"/>
    </row>
    <row r="216" spans="1:59">
      <c r="A216" s="2" t="s">
        <v>203</v>
      </c>
      <c r="B216" s="2" t="s">
        <v>203</v>
      </c>
      <c r="C216" s="2" t="s">
        <v>203</v>
      </c>
      <c r="D216" s="2" t="s">
        <v>292</v>
      </c>
      <c r="E216" s="2" t="s">
        <v>272</v>
      </c>
      <c r="F216" s="2">
        <v>0</v>
      </c>
      <c r="G216" s="2">
        <f t="shared" si="103"/>
        <v>1.7783120704121071</v>
      </c>
      <c r="H216" s="2">
        <f t="shared" si="102"/>
        <v>3.7505083948513462</v>
      </c>
      <c r="J216" s="2">
        <f>LOG(Y216)</f>
        <v>1.1912646619703378</v>
      </c>
      <c r="K216" s="2">
        <f>LOG(AG216)</f>
        <v>1.8390588441737901</v>
      </c>
      <c r="L216" s="2">
        <f t="shared" si="109"/>
        <v>0.87938263717434262</v>
      </c>
      <c r="M216" s="2">
        <f t="shared" ref="M216:M224" si="110">LOG(AX216)</f>
        <v>1.5440680443502757</v>
      </c>
      <c r="N216" s="2">
        <v>1</v>
      </c>
      <c r="O216" s="12">
        <v>60.022222222222226</v>
      </c>
      <c r="P216" s="2">
        <v>9</v>
      </c>
      <c r="Q216" s="9" t="s">
        <v>305</v>
      </c>
      <c r="R216" s="9" t="s">
        <v>308</v>
      </c>
      <c r="S216" s="10">
        <v>5630</v>
      </c>
      <c r="T216" s="10">
        <v>3</v>
      </c>
      <c r="U216" s="9" t="s">
        <v>305</v>
      </c>
      <c r="V216" s="2" t="s">
        <v>307</v>
      </c>
      <c r="W216" s="2" t="s">
        <v>415</v>
      </c>
      <c r="X216" s="2">
        <v>0</v>
      </c>
      <c r="Y216" s="2">
        <f>AVERAGE(2.8,18.8,25)</f>
        <v>15.533333333333333</v>
      </c>
      <c r="Z216" s="2">
        <f>AVERAGE(16.7,21.3)-5.1</f>
        <v>13.9</v>
      </c>
      <c r="AA216" s="2">
        <f>Y216+Z216</f>
        <v>29.433333333333334</v>
      </c>
      <c r="AC216" s="2">
        <f>AVERAGE(2.8,0.2)</f>
        <v>1.5</v>
      </c>
      <c r="AD216" s="2">
        <f>AB216+AC216</f>
        <v>1.5</v>
      </c>
      <c r="AE216" s="9">
        <f>AA216+AD216</f>
        <v>30.933333333333334</v>
      </c>
      <c r="AG216" s="2">
        <v>69.033333333333331</v>
      </c>
      <c r="AH216" s="2">
        <f>AVERAGE(45.4,42.3)</f>
        <v>43.849999999999994</v>
      </c>
      <c r="AI216" s="2">
        <f>AVERAGE(5,1)</f>
        <v>3</v>
      </c>
      <c r="AJ216" s="2">
        <f>AG216</f>
        <v>69.033333333333331</v>
      </c>
      <c r="AK216" s="2">
        <v>0</v>
      </c>
      <c r="AL216" s="9">
        <f>SUM(X216+AA216+AD216+AF216+AG216+AK216)</f>
        <v>99.966666666666669</v>
      </c>
      <c r="AM216" s="9" t="s">
        <v>482</v>
      </c>
      <c r="AN216" s="9" t="s">
        <v>641</v>
      </c>
      <c r="AQ216" s="2">
        <f>AVERAGE(7,8.3,8,7)</f>
        <v>7.5750000000000002</v>
      </c>
      <c r="AR216" s="2" t="s">
        <v>972</v>
      </c>
      <c r="AS216" s="2">
        <v>7.5750000000000002</v>
      </c>
      <c r="AT216" s="9" t="s">
        <v>328</v>
      </c>
      <c r="AU216" s="9"/>
      <c r="AX216" s="2">
        <v>35</v>
      </c>
      <c r="AY216" s="2" t="s">
        <v>1263</v>
      </c>
      <c r="AZ216" s="9" t="s">
        <v>1027</v>
      </c>
      <c r="BA216" s="16"/>
      <c r="BB216" s="16"/>
      <c r="BC216" s="16"/>
      <c r="BD216" s="16"/>
      <c r="BE216" s="16"/>
      <c r="BF216" s="16"/>
      <c r="BG216" s="16"/>
    </row>
    <row r="217" spans="1:59">
      <c r="A217" s="2" t="s">
        <v>204</v>
      </c>
      <c r="B217" s="2" t="s">
        <v>204</v>
      </c>
      <c r="C217" s="2" t="s">
        <v>204</v>
      </c>
      <c r="D217" s="2" t="s">
        <v>292</v>
      </c>
      <c r="E217" s="2" t="s">
        <v>272</v>
      </c>
      <c r="F217" s="2">
        <v>0</v>
      </c>
      <c r="G217" s="2">
        <f t="shared" si="103"/>
        <v>1.7872649408738057</v>
      </c>
      <c r="H217" s="2">
        <f t="shared" si="102"/>
        <v>3.8173429673095631</v>
      </c>
      <c r="L217" s="2">
        <f t="shared" si="109"/>
        <v>1.1172712956557642</v>
      </c>
      <c r="M217" s="2">
        <f t="shared" si="110"/>
        <v>1.3617278360175928</v>
      </c>
      <c r="N217" s="2">
        <v>1</v>
      </c>
      <c r="O217" s="12">
        <v>61.27240693809042</v>
      </c>
      <c r="P217" s="2">
        <v>22</v>
      </c>
      <c r="Q217" s="9" t="s">
        <v>305</v>
      </c>
      <c r="R217" s="9" t="s">
        <v>308</v>
      </c>
      <c r="S217" s="8">
        <v>6566.636363636364</v>
      </c>
      <c r="T217" s="10">
        <v>11</v>
      </c>
      <c r="U217" s="9" t="s">
        <v>305</v>
      </c>
      <c r="V217" s="9" t="s">
        <v>312</v>
      </c>
      <c r="W217" s="9" t="s">
        <v>311</v>
      </c>
      <c r="AQ217" s="2">
        <v>13.1</v>
      </c>
      <c r="AR217" s="2" t="s">
        <v>973</v>
      </c>
      <c r="AS217" s="2">
        <v>13.1</v>
      </c>
      <c r="AT217" s="9" t="s">
        <v>974</v>
      </c>
      <c r="AU217" s="9"/>
      <c r="AX217" s="2">
        <v>23</v>
      </c>
      <c r="AZ217" s="9" t="s">
        <v>1264</v>
      </c>
      <c r="BA217" s="16"/>
      <c r="BB217" s="16"/>
      <c r="BC217" s="16"/>
      <c r="BD217" s="16"/>
      <c r="BE217" s="16"/>
      <c r="BF217" s="16"/>
      <c r="BG217" s="16"/>
    </row>
    <row r="218" spans="1:59">
      <c r="A218" s="2" t="s">
        <v>205</v>
      </c>
      <c r="B218" s="2" t="s">
        <v>205</v>
      </c>
      <c r="C218" s="2" t="s">
        <v>205</v>
      </c>
      <c r="D218" s="2" t="s">
        <v>292</v>
      </c>
      <c r="E218" s="2" t="s">
        <v>272</v>
      </c>
      <c r="F218" s="2">
        <v>0</v>
      </c>
      <c r="G218" s="2">
        <f t="shared" si="103"/>
        <v>1.7556843338524131</v>
      </c>
      <c r="H218" s="2">
        <f t="shared" si="102"/>
        <v>3.8064174138596281</v>
      </c>
      <c r="J218" s="2">
        <f t="shared" ref="J218:J226" si="111">LOG(Y218)</f>
        <v>1.6127838567197355</v>
      </c>
      <c r="K218" s="2">
        <f t="shared" ref="K218:K226" si="112">LOG(AG218)</f>
        <v>1.5854607295085006</v>
      </c>
      <c r="L218" s="2">
        <f t="shared" si="109"/>
        <v>0.6020599913279624</v>
      </c>
      <c r="M218" s="2">
        <f t="shared" si="110"/>
        <v>1.3710678622717363</v>
      </c>
      <c r="N218" s="2">
        <v>1</v>
      </c>
      <c r="O218" s="12">
        <v>56.974999999999994</v>
      </c>
      <c r="P218" s="2">
        <v>8</v>
      </c>
      <c r="Q218" s="9" t="s">
        <v>305</v>
      </c>
      <c r="R218" s="9" t="s">
        <v>308</v>
      </c>
      <c r="S218" s="10">
        <v>6403.5</v>
      </c>
      <c r="T218" s="10"/>
      <c r="U218" s="9" t="s">
        <v>305</v>
      </c>
      <c r="V218" s="2" t="s">
        <v>307</v>
      </c>
      <c r="W218" s="2" t="s">
        <v>416</v>
      </c>
      <c r="X218" s="2">
        <v>0</v>
      </c>
      <c r="Y218" s="2">
        <f>AVERAGE(16,66)</f>
        <v>41</v>
      </c>
      <c r="Z218" s="2">
        <f>AVERAGE(16,4)</f>
        <v>10</v>
      </c>
      <c r="AA218" s="2">
        <f>Y218+Z218</f>
        <v>51</v>
      </c>
      <c r="AC218" s="2">
        <v>7</v>
      </c>
      <c r="AD218" s="2">
        <f t="shared" ref="AD218:AD226" si="113">AB218+AC218</f>
        <v>7</v>
      </c>
      <c r="AE218" s="9">
        <f t="shared" ref="AE218:AE226" si="114">AA218+AD218</f>
        <v>58</v>
      </c>
      <c r="AG218" s="2">
        <v>38.5</v>
      </c>
      <c r="AJ218" s="2">
        <f t="shared" ref="AJ218:AJ226" si="115">AG218</f>
        <v>38.5</v>
      </c>
      <c r="AK218" s="2">
        <v>3.5</v>
      </c>
      <c r="AL218" s="9">
        <f t="shared" ref="AL218:AL224" si="116">SUM(X218+AA218+AD218+AF218+AG218+AK218)</f>
        <v>100</v>
      </c>
      <c r="AM218" s="9" t="s">
        <v>495</v>
      </c>
      <c r="AN218" s="9" t="s">
        <v>641</v>
      </c>
      <c r="AQ218" s="2">
        <v>4</v>
      </c>
      <c r="AR218" s="2" t="s">
        <v>697</v>
      </c>
      <c r="AS218" s="2">
        <v>4</v>
      </c>
      <c r="AT218" s="9" t="s">
        <v>975</v>
      </c>
      <c r="AU218" s="9"/>
      <c r="AX218" s="2">
        <v>23.5</v>
      </c>
      <c r="AY218" s="2" t="s">
        <v>1265</v>
      </c>
      <c r="AZ218" s="9" t="s">
        <v>641</v>
      </c>
      <c r="BA218" s="16"/>
      <c r="BB218" s="16"/>
      <c r="BC218" s="16"/>
      <c r="BD218" s="16"/>
      <c r="BE218" s="16"/>
      <c r="BF218" s="16"/>
      <c r="BG218" s="16"/>
    </row>
    <row r="219" spans="1:59">
      <c r="A219" s="2" t="s">
        <v>206</v>
      </c>
      <c r="B219" s="2" t="s">
        <v>206</v>
      </c>
      <c r="C219" s="2" t="s">
        <v>206</v>
      </c>
      <c r="D219" s="2" t="s">
        <v>292</v>
      </c>
      <c r="E219" s="2" t="s">
        <v>272</v>
      </c>
      <c r="F219" s="2">
        <v>0</v>
      </c>
      <c r="G219" s="2">
        <f t="shared" si="103"/>
        <v>1.8374286320097066</v>
      </c>
      <c r="H219" s="2">
        <f t="shared" si="102"/>
        <v>3.7938887594656472</v>
      </c>
      <c r="J219" s="2">
        <f t="shared" si="111"/>
        <v>1.2833012287035497</v>
      </c>
      <c r="K219" s="2">
        <f t="shared" si="112"/>
        <v>1.5751878449276611</v>
      </c>
      <c r="L219" s="2">
        <f t="shared" si="109"/>
        <v>0.8394780473741984</v>
      </c>
      <c r="M219" s="2">
        <f t="shared" si="110"/>
        <v>1.8497264441963279</v>
      </c>
      <c r="N219" s="2">
        <v>1</v>
      </c>
      <c r="O219" s="12">
        <v>68.774688497778442</v>
      </c>
      <c r="P219" s="2">
        <v>31</v>
      </c>
      <c r="Q219" s="9" t="s">
        <v>305</v>
      </c>
      <c r="R219" s="9" t="s">
        <v>308</v>
      </c>
      <c r="S219" s="8">
        <v>6221.409090909091</v>
      </c>
      <c r="T219" s="10">
        <v>22</v>
      </c>
      <c r="U219" s="9" t="s">
        <v>305</v>
      </c>
      <c r="V219" s="9" t="s">
        <v>312</v>
      </c>
      <c r="W219" s="9" t="s">
        <v>311</v>
      </c>
      <c r="X219" s="2">
        <v>0</v>
      </c>
      <c r="Y219" s="2">
        <v>19.2</v>
      </c>
      <c r="Z219" s="2">
        <v>30.1</v>
      </c>
      <c r="AA219" s="2">
        <f>Y219+Z219</f>
        <v>49.3</v>
      </c>
      <c r="AC219" s="2">
        <v>11.1</v>
      </c>
      <c r="AD219" s="2">
        <f t="shared" si="113"/>
        <v>11.1</v>
      </c>
      <c r="AE219" s="9">
        <f t="shared" si="114"/>
        <v>60.4</v>
      </c>
      <c r="AG219" s="2">
        <v>37.6</v>
      </c>
      <c r="AH219" s="2">
        <v>36.5</v>
      </c>
      <c r="AI219" s="2">
        <v>1.1000000000000001</v>
      </c>
      <c r="AJ219" s="2">
        <f t="shared" si="115"/>
        <v>37.6</v>
      </c>
      <c r="AK219" s="2">
        <v>1</v>
      </c>
      <c r="AL219" s="9">
        <f t="shared" si="116"/>
        <v>99</v>
      </c>
      <c r="AM219" s="9" t="s">
        <v>460</v>
      </c>
      <c r="AN219" s="9" t="s">
        <v>642</v>
      </c>
      <c r="AQ219" s="2">
        <f>AVERAGE(7,6.14,4.3,6.11,11)</f>
        <v>6.9099999999999993</v>
      </c>
      <c r="AR219" s="2" t="s">
        <v>714</v>
      </c>
      <c r="AS219" s="2">
        <v>6.9099999999999993</v>
      </c>
      <c r="AT219" s="9" t="s">
        <v>976</v>
      </c>
      <c r="AU219" s="9"/>
      <c r="AX219" s="2">
        <v>70.75</v>
      </c>
      <c r="AY219" s="2" t="s">
        <v>1266</v>
      </c>
      <c r="AZ219" s="9" t="s">
        <v>1229</v>
      </c>
      <c r="BA219" s="16"/>
      <c r="BB219" s="16"/>
      <c r="BC219" s="16"/>
      <c r="BD219" s="16"/>
      <c r="BE219" s="16"/>
      <c r="BF219" s="16"/>
      <c r="BG219" s="16"/>
    </row>
    <row r="220" spans="1:59">
      <c r="A220" s="2" t="s">
        <v>207</v>
      </c>
      <c r="B220" s="2" t="s">
        <v>207</v>
      </c>
      <c r="C220" s="2" t="s">
        <v>207</v>
      </c>
      <c r="D220" s="2" t="s">
        <v>292</v>
      </c>
      <c r="E220" s="2" t="s">
        <v>272</v>
      </c>
      <c r="F220" s="2">
        <v>0</v>
      </c>
      <c r="G220" s="2">
        <f t="shared" si="103"/>
        <v>1.7572656918595968</v>
      </c>
      <c r="H220" s="2">
        <f t="shared" si="102"/>
        <v>3.8038958708450883</v>
      </c>
      <c r="J220" s="2">
        <f t="shared" si="111"/>
        <v>1.7201593034059568</v>
      </c>
      <c r="K220" s="2">
        <f t="shared" si="112"/>
        <v>1.550228353055094</v>
      </c>
      <c r="L220" s="2">
        <f t="shared" si="109"/>
        <v>1.1760912590556813</v>
      </c>
      <c r="M220" s="2">
        <f t="shared" si="110"/>
        <v>1.3802112417116059</v>
      </c>
      <c r="N220" s="2">
        <v>1</v>
      </c>
      <c r="O220" s="12">
        <v>57.182836176127907</v>
      </c>
      <c r="P220" s="2">
        <v>7</v>
      </c>
      <c r="Q220" s="9" t="s">
        <v>305</v>
      </c>
      <c r="R220" s="9" t="s">
        <v>306</v>
      </c>
      <c r="S220" s="8">
        <v>6366.4285714285716</v>
      </c>
      <c r="T220" s="10">
        <v>7</v>
      </c>
      <c r="U220" s="9" t="s">
        <v>305</v>
      </c>
      <c r="V220" s="9" t="s">
        <v>312</v>
      </c>
      <c r="W220" s="9" t="s">
        <v>311</v>
      </c>
      <c r="X220" s="2">
        <v>0</v>
      </c>
      <c r="Y220" s="2">
        <v>52.5</v>
      </c>
      <c r="AA220" s="2">
        <f>Y220+Z220</f>
        <v>52.5</v>
      </c>
      <c r="AC220" s="2">
        <v>9</v>
      </c>
      <c r="AD220" s="2">
        <f t="shared" si="113"/>
        <v>9</v>
      </c>
      <c r="AE220" s="9">
        <f t="shared" si="114"/>
        <v>61.5</v>
      </c>
      <c r="AG220" s="2">
        <v>35.5</v>
      </c>
      <c r="AH220" s="2">
        <v>26</v>
      </c>
      <c r="AI220" s="2">
        <v>9.5</v>
      </c>
      <c r="AJ220" s="2">
        <f t="shared" si="115"/>
        <v>35.5</v>
      </c>
      <c r="AK220" s="2">
        <v>3</v>
      </c>
      <c r="AL220" s="9">
        <f t="shared" si="116"/>
        <v>100</v>
      </c>
      <c r="AM220" s="9" t="s">
        <v>460</v>
      </c>
      <c r="AN220" s="9" t="s">
        <v>641</v>
      </c>
      <c r="AQ220" s="2">
        <f>AVERAGE(15,16,14)</f>
        <v>15</v>
      </c>
      <c r="AR220" s="2" t="s">
        <v>977</v>
      </c>
      <c r="AS220" s="2">
        <v>15</v>
      </c>
      <c r="AT220" s="9" t="s">
        <v>641</v>
      </c>
      <c r="AU220" s="9"/>
      <c r="AX220" s="2">
        <v>24</v>
      </c>
      <c r="AY220" s="2" t="s">
        <v>1267</v>
      </c>
      <c r="AZ220" s="9" t="s">
        <v>641</v>
      </c>
      <c r="BA220" s="16"/>
      <c r="BB220" s="16"/>
      <c r="BC220" s="16"/>
      <c r="BD220" s="16"/>
      <c r="BE220" s="16"/>
      <c r="BF220" s="16"/>
      <c r="BG220" s="16"/>
    </row>
    <row r="221" spans="1:59">
      <c r="A221" s="2" t="s">
        <v>208</v>
      </c>
      <c r="B221" s="2" t="s">
        <v>208</v>
      </c>
      <c r="C221" s="2" t="s">
        <v>208</v>
      </c>
      <c r="D221" s="2" t="s">
        <v>292</v>
      </c>
      <c r="E221" s="2" t="s">
        <v>272</v>
      </c>
      <c r="F221" s="2">
        <v>0</v>
      </c>
      <c r="G221" s="2">
        <f t="shared" si="103"/>
        <v>1.8159826575376867</v>
      </c>
      <c r="H221" s="2">
        <f t="shared" si="102"/>
        <v>3.8028010815630884</v>
      </c>
      <c r="I221" s="2">
        <f>LOG(X221)</f>
        <v>0.80617997398388719</v>
      </c>
      <c r="J221" s="2">
        <f t="shared" si="111"/>
        <v>1.5575072019056579</v>
      </c>
      <c r="K221" s="2">
        <f t="shared" si="112"/>
        <v>1.6454222693490919</v>
      </c>
      <c r="L221" s="2">
        <f t="shared" si="109"/>
        <v>0.81954393554186866</v>
      </c>
      <c r="M221" s="2">
        <f t="shared" si="110"/>
        <v>1.4377505628203879</v>
      </c>
      <c r="N221" s="2">
        <v>1</v>
      </c>
      <c r="O221" s="12">
        <v>65.461003333333323</v>
      </c>
      <c r="P221" s="2">
        <v>6</v>
      </c>
      <c r="Q221" s="9" t="s">
        <v>305</v>
      </c>
      <c r="R221" s="9" t="s">
        <v>308</v>
      </c>
      <c r="S221" s="8">
        <v>6350.4</v>
      </c>
      <c r="T221" s="10">
        <v>2</v>
      </c>
      <c r="U221" s="9" t="s">
        <v>305</v>
      </c>
      <c r="V221" s="9" t="s">
        <v>312</v>
      </c>
      <c r="W221" s="9" t="s">
        <v>311</v>
      </c>
      <c r="X221" s="2">
        <v>6.4</v>
      </c>
      <c r="Y221" s="2">
        <v>36.1</v>
      </c>
      <c r="AA221" s="2">
        <v>36.1</v>
      </c>
      <c r="AC221" s="2">
        <v>3.6</v>
      </c>
      <c r="AD221" s="2">
        <f t="shared" si="113"/>
        <v>3.6</v>
      </c>
      <c r="AE221" s="9">
        <f t="shared" si="114"/>
        <v>39.700000000000003</v>
      </c>
      <c r="AG221" s="2">
        <v>44.2</v>
      </c>
      <c r="AH221" s="2">
        <v>30.8</v>
      </c>
      <c r="AI221" s="2">
        <v>13.4</v>
      </c>
      <c r="AJ221" s="2">
        <f t="shared" si="115"/>
        <v>44.2</v>
      </c>
      <c r="AK221" s="2">
        <v>9.6999999999999993</v>
      </c>
      <c r="AL221" s="9">
        <f t="shared" si="116"/>
        <v>100.00000000000001</v>
      </c>
      <c r="AM221" s="9" t="s">
        <v>460</v>
      </c>
      <c r="AN221" s="2" t="s">
        <v>643</v>
      </c>
      <c r="AQ221" s="2">
        <v>6.6</v>
      </c>
      <c r="AR221" s="2" t="s">
        <v>978</v>
      </c>
      <c r="AS221" s="2">
        <v>6.6</v>
      </c>
      <c r="AT221" s="9" t="s">
        <v>979</v>
      </c>
      <c r="AU221" s="9"/>
      <c r="AX221" s="2">
        <v>27.4</v>
      </c>
      <c r="AY221" s="2" t="s">
        <v>1268</v>
      </c>
      <c r="AZ221" s="2" t="s">
        <v>1269</v>
      </c>
      <c r="BA221" s="16"/>
      <c r="BB221" s="16"/>
      <c r="BC221" s="16"/>
      <c r="BD221" s="16"/>
      <c r="BE221" s="16"/>
      <c r="BF221" s="16"/>
      <c r="BG221" s="16"/>
    </row>
    <row r="222" spans="1:59">
      <c r="A222" s="2" t="s">
        <v>1363</v>
      </c>
      <c r="B222" s="2" t="s">
        <v>1410</v>
      </c>
      <c r="C222" s="2" t="s">
        <v>209</v>
      </c>
      <c r="D222" s="2" t="s">
        <v>300</v>
      </c>
      <c r="E222" s="2" t="s">
        <v>272</v>
      </c>
      <c r="F222" s="2">
        <v>0</v>
      </c>
      <c r="G222" s="2">
        <f t="shared" si="103"/>
        <v>1.7890156714951289</v>
      </c>
      <c r="H222" s="2">
        <f t="shared" si="102"/>
        <v>3.8532417803291139</v>
      </c>
      <c r="J222" s="2">
        <f t="shared" si="111"/>
        <v>1.3820170425748683</v>
      </c>
      <c r="K222" s="2">
        <f t="shared" si="112"/>
        <v>1.6273658565927327</v>
      </c>
      <c r="L222" s="2">
        <f t="shared" si="109"/>
        <v>1.5327543789924976</v>
      </c>
      <c r="M222" s="2">
        <f t="shared" si="110"/>
        <v>1.7442929831226763</v>
      </c>
      <c r="N222" s="2">
        <v>1</v>
      </c>
      <c r="O222" s="12">
        <v>61.519907173774158</v>
      </c>
      <c r="P222" s="2">
        <v>31</v>
      </c>
      <c r="Q222" s="9" t="s">
        <v>305</v>
      </c>
      <c r="R222" s="9" t="s">
        <v>308</v>
      </c>
      <c r="S222" s="8">
        <v>7132.5</v>
      </c>
      <c r="T222" s="10">
        <v>8</v>
      </c>
      <c r="U222" s="9" t="s">
        <v>305</v>
      </c>
      <c r="V222" s="9" t="s">
        <v>312</v>
      </c>
      <c r="W222" s="9" t="s">
        <v>311</v>
      </c>
      <c r="X222" s="2">
        <v>0</v>
      </c>
      <c r="Y222" s="2">
        <f>AVERAGE(17,39,37,29,6)-1.5</f>
        <v>24.1</v>
      </c>
      <c r="Z222" s="2">
        <f>AVERAGE(19,3,25)-1.5</f>
        <v>14.166666666666666</v>
      </c>
      <c r="AA222" s="2">
        <f>Y222+Z222</f>
        <v>38.266666666666666</v>
      </c>
      <c r="AC222" s="2">
        <f>AVERAGE(9,9,30,20,16)</f>
        <v>16.8</v>
      </c>
      <c r="AD222" s="2">
        <f t="shared" si="113"/>
        <v>16.8</v>
      </c>
      <c r="AE222" s="9">
        <f t="shared" si="114"/>
        <v>55.066666666666663</v>
      </c>
      <c r="AG222" s="2">
        <v>42.4</v>
      </c>
      <c r="AH222" s="2">
        <f>AVERAGE(42,35,24,46,32)-3</f>
        <v>32.799999999999997</v>
      </c>
      <c r="AI222" s="2">
        <f>AVERAGE(5,12,7,4,20)</f>
        <v>9.6</v>
      </c>
      <c r="AJ222" s="2">
        <f t="shared" si="115"/>
        <v>42.4</v>
      </c>
      <c r="AK222" s="2">
        <v>2.5</v>
      </c>
      <c r="AL222" s="9">
        <f t="shared" si="116"/>
        <v>99.966666666666669</v>
      </c>
      <c r="AM222" s="9" t="s">
        <v>458</v>
      </c>
      <c r="AN222" s="9" t="s">
        <v>547</v>
      </c>
      <c r="AQ222" s="2">
        <f>AVERAGE(17.5,25,17.5,23.5)</f>
        <v>20.875</v>
      </c>
      <c r="AR222" s="2" t="s">
        <v>980</v>
      </c>
      <c r="AS222" s="2">
        <v>34.099999999999994</v>
      </c>
      <c r="AT222" s="9" t="s">
        <v>981</v>
      </c>
      <c r="AU222" s="9"/>
      <c r="AX222" s="2">
        <v>55.5</v>
      </c>
      <c r="AY222" s="2" t="s">
        <v>982</v>
      </c>
      <c r="AZ222" s="9" t="s">
        <v>547</v>
      </c>
      <c r="BA222" s="16"/>
      <c r="BB222" s="16"/>
      <c r="BC222" s="16"/>
      <c r="BD222" s="16"/>
      <c r="BE222" s="16"/>
      <c r="BF222" s="16"/>
      <c r="BG222" s="16"/>
    </row>
    <row r="223" spans="1:59">
      <c r="A223" s="2" t="s">
        <v>1364</v>
      </c>
      <c r="B223" s="2" t="s">
        <v>1411</v>
      </c>
      <c r="C223" s="2" t="s">
        <v>210</v>
      </c>
      <c r="D223" s="2" t="s">
        <v>300</v>
      </c>
      <c r="E223" s="2" t="s">
        <v>272</v>
      </c>
      <c r="F223" s="2">
        <v>0</v>
      </c>
      <c r="G223" s="2">
        <f t="shared" si="103"/>
        <v>1.7442929831226763</v>
      </c>
      <c r="H223" s="2">
        <f t="shared" si="102"/>
        <v>3.7103994661168005</v>
      </c>
      <c r="J223" s="2">
        <f t="shared" si="111"/>
        <v>1.3222192947339193</v>
      </c>
      <c r="K223" s="2">
        <f t="shared" si="112"/>
        <v>1.8430250313913916</v>
      </c>
      <c r="L223" s="2">
        <f t="shared" si="109"/>
        <v>1.5352941200427705</v>
      </c>
      <c r="M223" s="2">
        <f t="shared" si="110"/>
        <v>1.3979400086720377</v>
      </c>
      <c r="N223" s="2">
        <v>1</v>
      </c>
      <c r="O223" s="7">
        <v>55.5</v>
      </c>
      <c r="P223" s="8">
        <v>8</v>
      </c>
      <c r="Q223" s="11" t="s">
        <v>340</v>
      </c>
      <c r="R223" s="9" t="s">
        <v>306</v>
      </c>
      <c r="S223" s="8">
        <v>5133.333333333333</v>
      </c>
      <c r="T223" s="10">
        <v>3</v>
      </c>
      <c r="U223" s="9" t="s">
        <v>305</v>
      </c>
      <c r="V223" s="9" t="s">
        <v>312</v>
      </c>
      <c r="W223" s="9" t="s">
        <v>311</v>
      </c>
      <c r="X223" s="2">
        <v>0</v>
      </c>
      <c r="Y223" s="2">
        <f>AVERAGE(32,26,5)</f>
        <v>21</v>
      </c>
      <c r="Z223" s="2">
        <f>AVERAGE(0,2,0)</f>
        <v>0.66666666666666663</v>
      </c>
      <c r="AA223" s="2">
        <f>Y223+Z223</f>
        <v>21.666666666666668</v>
      </c>
      <c r="AC223" s="2">
        <f>AVERAGE(8,5,6)</f>
        <v>6.333333333333333</v>
      </c>
      <c r="AD223" s="2">
        <f t="shared" si="113"/>
        <v>6.333333333333333</v>
      </c>
      <c r="AE223" s="9">
        <f t="shared" si="114"/>
        <v>28</v>
      </c>
      <c r="AG223" s="2">
        <v>69.666666666666671</v>
      </c>
      <c r="AH223" s="2">
        <f>AVERAGE(50,51,55)</f>
        <v>52</v>
      </c>
      <c r="AI223" s="2">
        <f>AVERAGE(7,9,7)</f>
        <v>7.666666666666667</v>
      </c>
      <c r="AJ223" s="2">
        <f t="shared" si="115"/>
        <v>69.666666666666671</v>
      </c>
      <c r="AK223" s="2">
        <f>AVERAGE(0,6,7)-2</f>
        <v>2.333333333333333</v>
      </c>
      <c r="AL223" s="9">
        <f t="shared" si="116"/>
        <v>100</v>
      </c>
      <c r="AM223" s="9" t="s">
        <v>458</v>
      </c>
      <c r="AN223" s="9" t="s">
        <v>644</v>
      </c>
      <c r="AQ223" s="2">
        <f>AVERAGE(31.1,37.5)</f>
        <v>34.299999999999997</v>
      </c>
      <c r="AR223" s="2" t="s">
        <v>982</v>
      </c>
      <c r="AS223" s="2">
        <v>34.299999999999997</v>
      </c>
      <c r="AT223" s="9" t="s">
        <v>547</v>
      </c>
      <c r="AU223" s="9"/>
      <c r="AX223" s="2">
        <v>25</v>
      </c>
      <c r="AY223" s="2" t="s">
        <v>1270</v>
      </c>
      <c r="AZ223" s="9" t="s">
        <v>547</v>
      </c>
      <c r="BA223" s="16"/>
      <c r="BB223" s="16"/>
      <c r="BC223" s="16"/>
      <c r="BD223" s="16"/>
      <c r="BE223" s="16"/>
      <c r="BF223" s="16"/>
      <c r="BG223" s="16"/>
    </row>
    <row r="224" spans="1:59">
      <c r="A224" s="2" t="s">
        <v>211</v>
      </c>
      <c r="B224" s="2" t="s">
        <v>1412</v>
      </c>
      <c r="C224" s="2" t="s">
        <v>211</v>
      </c>
      <c r="D224" s="2" t="s">
        <v>300</v>
      </c>
      <c r="E224" s="2" t="s">
        <v>272</v>
      </c>
      <c r="F224" s="2">
        <v>0</v>
      </c>
      <c r="G224" s="2">
        <f t="shared" si="103"/>
        <v>1.8552437453713593</v>
      </c>
      <c r="H224" s="2">
        <f t="shared" si="102"/>
        <v>3.9190780923760737</v>
      </c>
      <c r="J224" s="2">
        <f t="shared" si="111"/>
        <v>0.6020599913279624</v>
      </c>
      <c r="K224" s="2">
        <f t="shared" si="112"/>
        <v>1.8195439355418688</v>
      </c>
      <c r="L224" s="2">
        <f t="shared" si="109"/>
        <v>1.6627578316815741</v>
      </c>
      <c r="M224" s="2">
        <f t="shared" si="110"/>
        <v>1.8633228601204559</v>
      </c>
      <c r="N224" s="2">
        <v>1</v>
      </c>
      <c r="O224" s="12">
        <v>71.654545454545456</v>
      </c>
      <c r="P224" s="2">
        <v>11</v>
      </c>
      <c r="Q224" s="9" t="s">
        <v>305</v>
      </c>
      <c r="R224" s="9" t="s">
        <v>308</v>
      </c>
      <c r="S224" s="10">
        <v>8300</v>
      </c>
      <c r="T224" s="10"/>
      <c r="U224" s="2" t="s">
        <v>417</v>
      </c>
      <c r="V224" s="2" t="s">
        <v>418</v>
      </c>
      <c r="W224" s="2"/>
      <c r="X224" s="2">
        <v>0</v>
      </c>
      <c r="Y224" s="2">
        <v>4</v>
      </c>
      <c r="Z224" s="2">
        <v>12</v>
      </c>
      <c r="AA224" s="2">
        <f>Y224+Z224</f>
        <v>16</v>
      </c>
      <c r="AC224" s="2">
        <v>9</v>
      </c>
      <c r="AD224" s="2">
        <f t="shared" si="113"/>
        <v>9</v>
      </c>
      <c r="AE224" s="9">
        <f t="shared" si="114"/>
        <v>25</v>
      </c>
      <c r="AG224" s="2">
        <v>66</v>
      </c>
      <c r="AH224" s="2">
        <v>56</v>
      </c>
      <c r="AI224" s="2">
        <v>10</v>
      </c>
      <c r="AJ224" s="2">
        <f t="shared" si="115"/>
        <v>66</v>
      </c>
      <c r="AK224" s="2">
        <v>9</v>
      </c>
      <c r="AL224" s="9">
        <f t="shared" si="116"/>
        <v>100</v>
      </c>
      <c r="AM224" s="9" t="s">
        <v>460</v>
      </c>
      <c r="AN224" s="9" t="s">
        <v>547</v>
      </c>
      <c r="AQ224" s="2">
        <v>46</v>
      </c>
      <c r="AR224" s="2" t="s">
        <v>983</v>
      </c>
      <c r="AS224" s="2">
        <v>46</v>
      </c>
      <c r="AT224" s="9" t="s">
        <v>547</v>
      </c>
      <c r="AU224" s="9"/>
      <c r="AX224" s="2">
        <v>73</v>
      </c>
      <c r="AZ224" s="9" t="s">
        <v>547</v>
      </c>
      <c r="BA224" s="16"/>
      <c r="BB224" s="16"/>
      <c r="BC224" s="16"/>
      <c r="BD224" s="16"/>
      <c r="BE224" s="16"/>
      <c r="BF224" s="16"/>
      <c r="BG224" s="16"/>
    </row>
    <row r="225" spans="1:59">
      <c r="A225" s="2" t="s">
        <v>1365</v>
      </c>
      <c r="B225" s="2" t="s">
        <v>1413</v>
      </c>
      <c r="C225" s="2" t="s">
        <v>212</v>
      </c>
      <c r="D225" s="2" t="s">
        <v>300</v>
      </c>
      <c r="E225" s="2" t="s">
        <v>272</v>
      </c>
      <c r="F225" s="2">
        <v>0</v>
      </c>
      <c r="J225" s="2">
        <f t="shared" si="111"/>
        <v>-6.0480747381381476E-2</v>
      </c>
      <c r="K225" s="2">
        <f t="shared" si="112"/>
        <v>1.9489506102455481</v>
      </c>
      <c r="L225" s="2">
        <f t="shared" si="109"/>
        <v>1.6020599913279623</v>
      </c>
      <c r="N225" s="2">
        <v>1</v>
      </c>
      <c r="Q225" s="2"/>
      <c r="R225" s="2"/>
      <c r="S225" s="10"/>
      <c r="T225" s="10"/>
      <c r="U225" s="2"/>
      <c r="V225" s="2"/>
      <c r="W225" s="2"/>
      <c r="X225" s="2">
        <v>0</v>
      </c>
      <c r="Y225" s="2">
        <v>0.87</v>
      </c>
      <c r="AA225" s="2">
        <f>Y225+Z225</f>
        <v>0.87</v>
      </c>
      <c r="AC225" s="2">
        <v>10.199999999999999</v>
      </c>
      <c r="AD225" s="2">
        <f t="shared" si="113"/>
        <v>10.199999999999999</v>
      </c>
      <c r="AE225" s="2">
        <f t="shared" si="114"/>
        <v>11.069999999999999</v>
      </c>
      <c r="AG225" s="2">
        <v>88.91</v>
      </c>
      <c r="AH225" s="2">
        <v>88.91</v>
      </c>
      <c r="AJ225" s="2">
        <f t="shared" si="115"/>
        <v>88.91</v>
      </c>
      <c r="AK225" s="2">
        <v>0.02</v>
      </c>
      <c r="AL225" s="2">
        <f>X225+AA225+AD225+AF225+AG225+AK225</f>
        <v>99.999999999999986</v>
      </c>
      <c r="AM225" s="2" t="s">
        <v>517</v>
      </c>
      <c r="AN225" s="2" t="s">
        <v>645</v>
      </c>
      <c r="AQ225" s="2">
        <v>40</v>
      </c>
      <c r="AR225" s="2" t="s">
        <v>984</v>
      </c>
      <c r="AS225" s="2">
        <v>40</v>
      </c>
      <c r="AT225" s="2" t="s">
        <v>985</v>
      </c>
      <c r="BA225" s="16"/>
      <c r="BB225" s="16"/>
      <c r="BC225" s="16"/>
      <c r="BD225" s="16"/>
      <c r="BE225" s="16"/>
      <c r="BF225" s="16"/>
      <c r="BG225" s="16"/>
    </row>
    <row r="226" spans="1:59">
      <c r="A226" s="2" t="s">
        <v>1366</v>
      </c>
      <c r="B226" s="2" t="s">
        <v>1414</v>
      </c>
      <c r="C226" s="2" t="s">
        <v>213</v>
      </c>
      <c r="D226" s="2" t="s">
        <v>300</v>
      </c>
      <c r="E226" s="2" t="s">
        <v>272</v>
      </c>
      <c r="F226" s="2">
        <v>0</v>
      </c>
      <c r="G226" s="2">
        <f t="shared" ref="G226:G231" si="117">LOG(O226)</f>
        <v>1.8485919038148428</v>
      </c>
      <c r="H226" s="2">
        <f t="shared" si="102"/>
        <v>3.8750612633917001</v>
      </c>
      <c r="J226" s="2">
        <f t="shared" si="111"/>
        <v>0.5502283530550941</v>
      </c>
      <c r="K226" s="2">
        <f t="shared" si="112"/>
        <v>1.8761745244872226</v>
      </c>
      <c r="L226" s="2">
        <f t="shared" si="109"/>
        <v>1.5547313766759665</v>
      </c>
      <c r="M226" s="2">
        <f>LOG(AX226)</f>
        <v>2.3387751249335733</v>
      </c>
      <c r="N226" s="2">
        <v>1</v>
      </c>
      <c r="O226" s="12">
        <v>70.565415621140332</v>
      </c>
      <c r="P226" s="2">
        <v>10</v>
      </c>
      <c r="Q226" s="9" t="s">
        <v>305</v>
      </c>
      <c r="R226" s="9" t="s">
        <v>308</v>
      </c>
      <c r="S226" s="8">
        <v>7500</v>
      </c>
      <c r="T226" s="10"/>
      <c r="U226" s="9" t="s">
        <v>326</v>
      </c>
      <c r="V226" s="9" t="s">
        <v>419</v>
      </c>
      <c r="W226" s="9"/>
      <c r="X226" s="2">
        <v>0</v>
      </c>
      <c r="Y226" s="2">
        <f>AVERAGE(7.1,0)</f>
        <v>3.55</v>
      </c>
      <c r="Z226" s="2">
        <f>AVERAGE(30.8,AVERAGE(2.24,0.82))</f>
        <v>16.164999999999999</v>
      </c>
      <c r="AA226" s="2">
        <f>Y226+Z226</f>
        <v>19.715</v>
      </c>
      <c r="AC226" s="2">
        <f>AVERAGE(1.4,AVERAGE(6.73,2.98))</f>
        <v>3.1275000000000004</v>
      </c>
      <c r="AD226" s="2">
        <f t="shared" si="113"/>
        <v>3.1275000000000004</v>
      </c>
      <c r="AE226" s="2">
        <f t="shared" si="114"/>
        <v>22.842500000000001</v>
      </c>
      <c r="AG226" s="2">
        <v>75.192499999999995</v>
      </c>
      <c r="AH226" s="2">
        <f>AVERAGE(54.3,AVERAGE(38.65+15.92,39.85+20.06))</f>
        <v>55.769999999999996</v>
      </c>
      <c r="AI226" s="2">
        <f>AVERAGE(6.4,AVERAGE(13.65,23.08))</f>
        <v>12.3825</v>
      </c>
      <c r="AJ226" s="2">
        <f t="shared" si="115"/>
        <v>75.192499999999995</v>
      </c>
      <c r="AK226" s="2">
        <v>1.96</v>
      </c>
      <c r="AL226" s="2">
        <f>X226+AA226+AD226+AF226+AG226+AK226</f>
        <v>99.99499999999999</v>
      </c>
      <c r="AM226" s="9" t="s">
        <v>458</v>
      </c>
      <c r="AN226" s="2" t="s">
        <v>646</v>
      </c>
      <c r="AQ226" s="2">
        <f>AVERAGE(11.3,43.9,40,33.75,50.4)</f>
        <v>35.869999999999997</v>
      </c>
      <c r="AR226" s="2" t="s">
        <v>986</v>
      </c>
      <c r="AS226" s="2">
        <v>35.869999999999997</v>
      </c>
      <c r="AT226" s="2" t="s">
        <v>657</v>
      </c>
      <c r="AU226" s="2">
        <f>AVERAGE(531.6,577,600,648.9,560)</f>
        <v>583.5</v>
      </c>
      <c r="AX226" s="2">
        <v>218.16</v>
      </c>
      <c r="AY226" s="2" t="s">
        <v>1271</v>
      </c>
      <c r="AZ226" s="2" t="s">
        <v>657</v>
      </c>
      <c r="BA226" s="16"/>
      <c r="BB226" s="16"/>
      <c r="BC226" s="16"/>
      <c r="BD226" s="16"/>
      <c r="BE226" s="16"/>
      <c r="BF226" s="16"/>
      <c r="BG226" s="16"/>
    </row>
    <row r="227" spans="1:59">
      <c r="A227" s="2" t="s">
        <v>1367</v>
      </c>
      <c r="B227" s="2" t="s">
        <v>1415</v>
      </c>
      <c r="C227" s="2" t="s">
        <v>214</v>
      </c>
      <c r="D227" s="2" t="s">
        <v>300</v>
      </c>
      <c r="E227" s="2" t="s">
        <v>272</v>
      </c>
      <c r="F227" s="2">
        <v>0</v>
      </c>
      <c r="G227" s="2">
        <f t="shared" si="117"/>
        <v>1.8600633030978238</v>
      </c>
      <c r="H227" s="2">
        <f t="shared" si="102"/>
        <v>3.8608169638645378</v>
      </c>
      <c r="N227" s="2">
        <v>1</v>
      </c>
      <c r="O227" s="12">
        <v>72.454156211403429</v>
      </c>
      <c r="P227" s="2">
        <v>1</v>
      </c>
      <c r="Q227" s="9" t="s">
        <v>305</v>
      </c>
      <c r="R227" s="9" t="s">
        <v>308</v>
      </c>
      <c r="S227" s="8">
        <v>7258</v>
      </c>
      <c r="T227" s="10">
        <v>1</v>
      </c>
      <c r="U227" s="9" t="s">
        <v>305</v>
      </c>
      <c r="V227" s="9" t="s">
        <v>312</v>
      </c>
      <c r="W227" s="9"/>
      <c r="AN227" s="2" t="s">
        <v>647</v>
      </c>
      <c r="BA227" s="16"/>
      <c r="BB227" s="16"/>
      <c r="BC227" s="16"/>
      <c r="BD227" s="16"/>
      <c r="BE227" s="16"/>
      <c r="BF227" s="16"/>
      <c r="BG227" s="16"/>
    </row>
    <row r="228" spans="1:59">
      <c r="A228" s="2" t="s">
        <v>215</v>
      </c>
      <c r="B228" s="2" t="s">
        <v>215</v>
      </c>
      <c r="C228" s="2" t="s">
        <v>215</v>
      </c>
      <c r="D228" s="2" t="s">
        <v>301</v>
      </c>
      <c r="E228" s="2" t="s">
        <v>272</v>
      </c>
      <c r="F228" s="2">
        <v>0</v>
      </c>
      <c r="G228" s="2">
        <f t="shared" si="117"/>
        <v>1.712892018806992</v>
      </c>
      <c r="H228" s="2">
        <f t="shared" si="102"/>
        <v>3.6232492903979003</v>
      </c>
      <c r="J228" s="2">
        <f>LOG(Y228)</f>
        <v>0.90308998699194354</v>
      </c>
      <c r="K228" s="2">
        <f>LOG(AG228)</f>
        <v>1.9003671286564703</v>
      </c>
      <c r="L228" s="2">
        <f>LOG(AS228)</f>
        <v>0.89209460269048035</v>
      </c>
      <c r="M228" s="2">
        <f>LOG(AX228)</f>
        <v>1.6232492903979006</v>
      </c>
      <c r="N228" s="2">
        <v>1</v>
      </c>
      <c r="O228" s="12">
        <v>51.628798559194742</v>
      </c>
      <c r="P228" s="2">
        <v>14</v>
      </c>
      <c r="Q228" s="9" t="s">
        <v>305</v>
      </c>
      <c r="R228" s="9" t="s">
        <v>306</v>
      </c>
      <c r="S228" s="10">
        <v>4200</v>
      </c>
      <c r="T228" s="10">
        <v>14</v>
      </c>
      <c r="U228" s="2" t="s">
        <v>305</v>
      </c>
      <c r="V228" s="2" t="s">
        <v>306</v>
      </c>
      <c r="W228" s="2" t="s">
        <v>420</v>
      </c>
      <c r="X228" s="2">
        <v>0</v>
      </c>
      <c r="Y228" s="2">
        <v>8</v>
      </c>
      <c r="Z228" s="2">
        <v>7</v>
      </c>
      <c r="AA228" s="2">
        <f>Y228+Z228</f>
        <v>15</v>
      </c>
      <c r="AC228" s="2">
        <f>AVERAGE(7,4)</f>
        <v>5.5</v>
      </c>
      <c r="AD228" s="2">
        <f>AB228+AC228</f>
        <v>5.5</v>
      </c>
      <c r="AE228" s="9">
        <f>AA228+AD228</f>
        <v>20.5</v>
      </c>
      <c r="AG228" s="2">
        <v>79.5</v>
      </c>
      <c r="AH228" s="2">
        <f>AVERAGE(59,83)</f>
        <v>71</v>
      </c>
      <c r="AI228" s="2">
        <f>AVERAGE(11,1)</f>
        <v>6</v>
      </c>
      <c r="AJ228" s="2">
        <f>AG228</f>
        <v>79.5</v>
      </c>
      <c r="AK228" s="2">
        <v>0</v>
      </c>
      <c r="AL228" s="9">
        <f>SUM(X228+AA228+AD228+AF228+AG228+AK228)</f>
        <v>100</v>
      </c>
      <c r="AM228" s="9" t="s">
        <v>458</v>
      </c>
      <c r="AN228" s="9" t="s">
        <v>547</v>
      </c>
      <c r="AQ228" s="2">
        <f>AVERAGE(7.1,8.5)</f>
        <v>7.8</v>
      </c>
      <c r="AR228" s="2" t="s">
        <v>714</v>
      </c>
      <c r="AS228" s="2">
        <v>7.8</v>
      </c>
      <c r="AT228" s="9" t="s">
        <v>547</v>
      </c>
      <c r="AU228" s="9"/>
      <c r="AX228" s="2">
        <v>42</v>
      </c>
      <c r="AY228" s="2" t="s">
        <v>1272</v>
      </c>
      <c r="AZ228" s="9" t="s">
        <v>547</v>
      </c>
      <c r="BA228" s="16"/>
      <c r="BB228" s="16"/>
      <c r="BC228" s="16"/>
      <c r="BD228" s="16"/>
      <c r="BE228" s="16"/>
      <c r="BF228" s="16"/>
      <c r="BG228" s="16"/>
    </row>
    <row r="229" spans="1:59">
      <c r="A229" s="2" t="s">
        <v>216</v>
      </c>
      <c r="B229" s="2" t="s">
        <v>1416</v>
      </c>
      <c r="C229" s="2" t="s">
        <v>216</v>
      </c>
      <c r="E229" s="2" t="s">
        <v>294</v>
      </c>
      <c r="F229" s="2">
        <v>0</v>
      </c>
      <c r="G229" s="2">
        <f t="shared" si="117"/>
        <v>1.4187474571137866</v>
      </c>
      <c r="H229" s="2">
        <f t="shared" si="102"/>
        <v>3.3510228525841237</v>
      </c>
      <c r="J229" s="2">
        <f>LOG(Y229)</f>
        <v>-0.3010299956639812</v>
      </c>
      <c r="K229" s="2">
        <f>LOG(AG229)</f>
        <v>1.9912260756924949</v>
      </c>
      <c r="L229" s="2">
        <f>LOG(AS229)</f>
        <v>0.90308998699194354</v>
      </c>
      <c r="M229" s="2">
        <f>LOG(AX229)</f>
        <v>1.7923916894982539</v>
      </c>
      <c r="N229" s="2">
        <v>1</v>
      </c>
      <c r="O229" s="12">
        <v>26.226929999999999</v>
      </c>
      <c r="P229" s="2">
        <v>5</v>
      </c>
      <c r="Q229" s="2" t="s">
        <v>318</v>
      </c>
      <c r="R229" s="9" t="s">
        <v>308</v>
      </c>
      <c r="S229" s="13">
        <v>2244</v>
      </c>
      <c r="T229" s="8">
        <v>9</v>
      </c>
      <c r="U229" s="9" t="s">
        <v>316</v>
      </c>
      <c r="V229" s="2" t="s">
        <v>368</v>
      </c>
      <c r="W229" s="2"/>
      <c r="X229" s="2">
        <v>0</v>
      </c>
      <c r="Y229" s="2">
        <v>0.5</v>
      </c>
      <c r="AA229" s="2">
        <f>Y229+Z229</f>
        <v>0.5</v>
      </c>
      <c r="AC229" s="2">
        <v>0.5</v>
      </c>
      <c r="AD229" s="2">
        <f>AB229+AC229</f>
        <v>0.5</v>
      </c>
      <c r="AE229" s="9">
        <f>AA229+AD229</f>
        <v>1</v>
      </c>
      <c r="AG229" s="2">
        <v>98</v>
      </c>
      <c r="AJ229" s="2">
        <f>AG229</f>
        <v>98</v>
      </c>
      <c r="AK229" s="2">
        <v>1</v>
      </c>
      <c r="AL229" s="9">
        <f>SUM(X229+AA229+AD229+AF229+AG229+AK229)</f>
        <v>100</v>
      </c>
      <c r="AM229" s="9" t="s">
        <v>460</v>
      </c>
      <c r="AN229" s="2" t="s">
        <v>648</v>
      </c>
      <c r="AQ229" s="9">
        <v>8</v>
      </c>
      <c r="AR229" s="9" t="s">
        <v>987</v>
      </c>
      <c r="AS229" s="9">
        <v>8</v>
      </c>
      <c r="AT229" s="9" t="s">
        <v>795</v>
      </c>
      <c r="AU229" s="9"/>
      <c r="AX229" s="2">
        <v>62</v>
      </c>
      <c r="AY229" s="2" t="s">
        <v>1273</v>
      </c>
      <c r="AZ229" s="9" t="s">
        <v>1274</v>
      </c>
      <c r="BA229" s="16"/>
      <c r="BB229" s="16"/>
      <c r="BC229" s="16"/>
      <c r="BD229" s="16"/>
      <c r="BE229" s="16"/>
      <c r="BF229" s="16"/>
      <c r="BG229" s="16"/>
    </row>
    <row r="230" spans="1:59">
      <c r="A230" s="2" t="s">
        <v>1377</v>
      </c>
      <c r="E230" s="2" t="s">
        <v>279</v>
      </c>
      <c r="F230" s="2">
        <v>0</v>
      </c>
      <c r="G230" s="2">
        <f t="shared" si="117"/>
        <v>1.5705429398818975</v>
      </c>
      <c r="J230" s="2">
        <f>LOG(Y230)</f>
        <v>1.5314789170422551</v>
      </c>
      <c r="K230" s="2">
        <f>LOG(AG230)</f>
        <v>1.7160033436347992</v>
      </c>
      <c r="M230" s="2">
        <f>LOG(AX230)</f>
        <v>1.6074550232146685</v>
      </c>
      <c r="N230" s="2">
        <v>1</v>
      </c>
      <c r="O230" s="12">
        <v>37.200000000000003</v>
      </c>
      <c r="P230" s="2">
        <v>1</v>
      </c>
      <c r="Q230" s="9" t="s">
        <v>305</v>
      </c>
      <c r="R230" s="9" t="s">
        <v>308</v>
      </c>
      <c r="S230" s="13"/>
      <c r="T230" s="8"/>
      <c r="U230" s="9"/>
      <c r="V230" s="2"/>
      <c r="W230" s="2"/>
      <c r="Y230" s="2">
        <v>34</v>
      </c>
      <c r="Z230" s="2">
        <v>11</v>
      </c>
      <c r="AA230" s="2">
        <v>45</v>
      </c>
      <c r="AE230" s="9"/>
      <c r="AG230" s="2">
        <v>52</v>
      </c>
      <c r="AK230" s="2">
        <v>3</v>
      </c>
      <c r="AL230" s="9">
        <f>SUM(X230+AA230+AD230+AF230+AG230+AK230)</f>
        <v>100</v>
      </c>
      <c r="AM230" s="9"/>
      <c r="AN230" s="2" t="s">
        <v>612</v>
      </c>
      <c r="AQ230" s="9"/>
      <c r="AR230" s="9" t="s">
        <v>852</v>
      </c>
      <c r="AS230" s="9"/>
      <c r="AT230" s="9"/>
      <c r="AU230" s="9">
        <v>712</v>
      </c>
      <c r="AX230" s="2">
        <f>AVERAGE(34,47)</f>
        <v>40.5</v>
      </c>
      <c r="AY230" s="2" t="s">
        <v>1275</v>
      </c>
      <c r="AZ230" s="9" t="s">
        <v>612</v>
      </c>
      <c r="BA230" s="16"/>
      <c r="BB230" s="16"/>
      <c r="BC230" s="16"/>
      <c r="BD230" s="16"/>
      <c r="BE230" s="16"/>
      <c r="BF230" s="16"/>
      <c r="BG230" s="16"/>
    </row>
    <row r="231" spans="1:59">
      <c r="A231" s="2" t="s">
        <v>217</v>
      </c>
      <c r="B231" s="2" t="s">
        <v>217</v>
      </c>
      <c r="C231" s="2" t="s">
        <v>217</v>
      </c>
      <c r="E231" s="2" t="s">
        <v>279</v>
      </c>
      <c r="F231" s="2">
        <v>0</v>
      </c>
      <c r="G231" s="2">
        <f t="shared" si="117"/>
        <v>1.4603228486095963</v>
      </c>
      <c r="H231" s="2">
        <f t="shared" si="102"/>
        <v>3.5865873046717551</v>
      </c>
      <c r="J231" s="2">
        <f>LOG(Y231)</f>
        <v>1.5440680443502757</v>
      </c>
      <c r="K231" s="2">
        <f>LOG(AG231)</f>
        <v>1.6766936096248666</v>
      </c>
      <c r="L231" s="2">
        <f>LOG(AS231)</f>
        <v>0.71600334363479923</v>
      </c>
      <c r="M231" s="2">
        <f>LOG(AX231)</f>
        <v>0.80020139112671784</v>
      </c>
      <c r="N231" s="2">
        <v>1</v>
      </c>
      <c r="O231" s="12">
        <v>28.861762499999998</v>
      </c>
      <c r="P231" s="2">
        <v>8</v>
      </c>
      <c r="Q231" s="2" t="s">
        <v>318</v>
      </c>
      <c r="R231" s="9" t="s">
        <v>308</v>
      </c>
      <c r="S231" s="13">
        <v>3860</v>
      </c>
      <c r="T231" s="8">
        <v>33</v>
      </c>
      <c r="U231" s="9" t="s">
        <v>316</v>
      </c>
      <c r="V231" s="2" t="s">
        <v>421</v>
      </c>
      <c r="W231" s="2"/>
      <c r="X231" s="2">
        <v>0</v>
      </c>
      <c r="Y231" s="2">
        <f>AVERAGE(35)</f>
        <v>35</v>
      </c>
      <c r="AA231" s="2">
        <f>Y231+Z231</f>
        <v>35</v>
      </c>
      <c r="AC231" s="2">
        <v>8.5500000000000007</v>
      </c>
      <c r="AD231" s="2">
        <f>AB231+AC231</f>
        <v>8.5500000000000007</v>
      </c>
      <c r="AE231" s="9">
        <f>AA231+AD231</f>
        <v>43.55</v>
      </c>
      <c r="AG231" s="2">
        <v>47.5</v>
      </c>
      <c r="AH231" s="2">
        <v>26.75</v>
      </c>
      <c r="AI231" s="2">
        <v>20.75</v>
      </c>
      <c r="AJ231" s="2">
        <f>AG231</f>
        <v>47.5</v>
      </c>
      <c r="AK231" s="2">
        <v>8.9</v>
      </c>
      <c r="AL231" s="9">
        <f>SUM(X231+AA231+AD231+AF231+AG231+AK231)</f>
        <v>99.95</v>
      </c>
      <c r="AM231" s="9" t="s">
        <v>460</v>
      </c>
      <c r="AN231" s="2" t="s">
        <v>649</v>
      </c>
      <c r="AQ231" s="9">
        <f>AVERAGE(4,5.5,6.1)</f>
        <v>5.2</v>
      </c>
      <c r="AR231" s="9" t="s">
        <v>857</v>
      </c>
      <c r="AS231" s="9">
        <v>5.2</v>
      </c>
      <c r="AT231" s="9" t="s">
        <v>988</v>
      </c>
      <c r="AU231" s="9">
        <v>925</v>
      </c>
      <c r="AX231" s="2">
        <v>6.3125</v>
      </c>
      <c r="AY231" s="2" t="s">
        <v>1276</v>
      </c>
      <c r="AZ231" s="9" t="s">
        <v>1277</v>
      </c>
      <c r="BA231" s="16"/>
      <c r="BB231" s="16"/>
      <c r="BC231" s="16"/>
      <c r="BD231" s="16"/>
      <c r="BE231" s="16"/>
      <c r="BF231" s="16"/>
      <c r="BG231" s="16"/>
    </row>
    <row r="232" spans="1:59">
      <c r="A232" s="2" t="s">
        <v>1378</v>
      </c>
      <c r="E232" s="2" t="s">
        <v>279</v>
      </c>
      <c r="F232" s="2">
        <v>0</v>
      </c>
      <c r="L232" s="2">
        <f>LOG(AS232)</f>
        <v>0.63346845557958653</v>
      </c>
      <c r="M232" s="2">
        <f>LOG(AX232)</f>
        <v>0.13033376849500614</v>
      </c>
      <c r="N232" s="2">
        <v>1</v>
      </c>
      <c r="O232" s="12"/>
      <c r="Q232" s="2"/>
      <c r="R232" s="9"/>
      <c r="S232" s="13"/>
      <c r="T232" s="8"/>
      <c r="U232" s="9"/>
      <c r="V232" s="2"/>
      <c r="W232" s="2"/>
      <c r="AE232" s="9"/>
      <c r="AL232" s="9"/>
      <c r="AM232" s="9"/>
      <c r="AQ232" s="9">
        <v>4.3</v>
      </c>
      <c r="AR232" s="9" t="s">
        <v>726</v>
      </c>
      <c r="AS232" s="9">
        <v>4.3</v>
      </c>
      <c r="AT232" s="9" t="s">
        <v>612</v>
      </c>
      <c r="AU232" s="9"/>
      <c r="AX232" s="2">
        <v>1.35</v>
      </c>
      <c r="AY232" s="2" t="s">
        <v>1278</v>
      </c>
      <c r="AZ232" s="9" t="s">
        <v>612</v>
      </c>
      <c r="BA232" s="16"/>
      <c r="BB232" s="16"/>
      <c r="BC232" s="16"/>
      <c r="BD232" s="16"/>
      <c r="BE232" s="16"/>
      <c r="BF232" s="16"/>
      <c r="BG232" s="16"/>
    </row>
    <row r="233" spans="1:59">
      <c r="A233" s="2" t="s">
        <v>218</v>
      </c>
      <c r="B233" s="2" t="s">
        <v>218</v>
      </c>
      <c r="C233" s="2" t="s">
        <v>218</v>
      </c>
      <c r="E233" s="2" t="s">
        <v>279</v>
      </c>
      <c r="F233" s="2">
        <v>0</v>
      </c>
      <c r="G233" s="2">
        <f>LOG(O233)</f>
        <v>1.4472870841594532</v>
      </c>
      <c r="H233" s="2">
        <f t="shared" si="102"/>
        <v>3.4644647071856216</v>
      </c>
      <c r="L233" s="2">
        <f>LOG(AS233)</f>
        <v>0.6020599913279624</v>
      </c>
      <c r="N233" s="2">
        <v>1</v>
      </c>
      <c r="O233" s="12">
        <v>28.008321578947367</v>
      </c>
      <c r="P233" s="2">
        <v>19</v>
      </c>
      <c r="Q233" s="2" t="s">
        <v>316</v>
      </c>
      <c r="R233" s="9" t="s">
        <v>308</v>
      </c>
      <c r="S233" s="10">
        <v>2913.8333333333335</v>
      </c>
      <c r="T233" s="10">
        <v>4</v>
      </c>
      <c r="U233" s="9" t="s">
        <v>316</v>
      </c>
      <c r="V233" s="20" t="s">
        <v>422</v>
      </c>
      <c r="W233" s="2"/>
      <c r="AQ233" s="2">
        <v>4</v>
      </c>
      <c r="AR233" s="2" t="s">
        <v>970</v>
      </c>
      <c r="AS233" s="2">
        <v>4</v>
      </c>
      <c r="AT233" s="9" t="s">
        <v>989</v>
      </c>
      <c r="AU233" s="9"/>
      <c r="BA233" s="16"/>
      <c r="BB233" s="16"/>
      <c r="BC233" s="16"/>
      <c r="BD233" s="16"/>
      <c r="BE233" s="16"/>
      <c r="BF233" s="16"/>
      <c r="BG233" s="16"/>
    </row>
    <row r="234" spans="1:59">
      <c r="A234" s="2" t="s">
        <v>219</v>
      </c>
      <c r="B234" s="2" t="s">
        <v>219</v>
      </c>
      <c r="C234" s="2" t="s">
        <v>219</v>
      </c>
      <c r="E234" s="2" t="s">
        <v>279</v>
      </c>
      <c r="F234" s="2">
        <v>0</v>
      </c>
      <c r="G234" s="2">
        <f>LOG(O234)</f>
        <v>1.5665641853866599</v>
      </c>
      <c r="H234" s="2">
        <f t="shared" si="102"/>
        <v>3.8132473008976051</v>
      </c>
      <c r="J234" s="2">
        <f>LOG(Y234)</f>
        <v>1.3794868137172738</v>
      </c>
      <c r="K234" s="2">
        <f>LOG(AG234)</f>
        <v>1.7323937598229686</v>
      </c>
      <c r="L234" s="2">
        <f>LOG(AS234)</f>
        <v>0.68394713075151214</v>
      </c>
      <c r="M234" s="2">
        <f>LOG(AX234)</f>
        <v>1.5797835966168101</v>
      </c>
      <c r="N234" s="2">
        <v>1</v>
      </c>
      <c r="O234" s="12">
        <v>36.860751518482559</v>
      </c>
      <c r="P234" s="2">
        <v>23</v>
      </c>
      <c r="Q234" s="2" t="s">
        <v>316</v>
      </c>
      <c r="R234" s="9" t="s">
        <v>308</v>
      </c>
      <c r="S234" s="13">
        <v>6505</v>
      </c>
      <c r="T234" s="8">
        <v>11</v>
      </c>
      <c r="U234" s="9" t="s">
        <v>316</v>
      </c>
      <c r="V234" s="2" t="s">
        <v>372</v>
      </c>
      <c r="W234" s="2" t="s">
        <v>423</v>
      </c>
      <c r="X234" s="9">
        <v>0</v>
      </c>
      <c r="Y234" s="2">
        <f>AVERAGE(28.25,18,24.17,25.42)</f>
        <v>23.96</v>
      </c>
      <c r="AA234" s="2">
        <f>Y234+Z234</f>
        <v>23.96</v>
      </c>
      <c r="AC234" s="2">
        <f>AVERAGE(11.67,18.33,15.83,12.42)</f>
        <v>14.5625</v>
      </c>
      <c r="AD234" s="2">
        <f>AB234+AC234</f>
        <v>14.5625</v>
      </c>
      <c r="AE234" s="9">
        <f>AA234+AD234</f>
        <v>38.522500000000001</v>
      </c>
      <c r="AG234" s="2">
        <v>54</v>
      </c>
      <c r="AH234" s="2">
        <v>42.68</v>
      </c>
      <c r="AI234" s="2">
        <v>0.6</v>
      </c>
      <c r="AJ234" s="2">
        <f>AG234</f>
        <v>54</v>
      </c>
      <c r="AK234" s="2">
        <f>AVERAGE(8.25,6.75,8.42,6.5)</f>
        <v>7.48</v>
      </c>
      <c r="AL234" s="9">
        <f>SUM(X234+AA234+AD234+AF234+AG234+AK234)</f>
        <v>100.00250000000001</v>
      </c>
      <c r="AM234" s="9" t="s">
        <v>458</v>
      </c>
      <c r="AN234" s="9" t="s">
        <v>650</v>
      </c>
      <c r="AQ234" s="9">
        <v>4.83</v>
      </c>
      <c r="AR234" s="9" t="s">
        <v>990</v>
      </c>
      <c r="AS234" s="9">
        <v>4.83</v>
      </c>
      <c r="AT234" s="9" t="s">
        <v>991</v>
      </c>
      <c r="AU234" s="9">
        <f>AVERAGE(987,1629)</f>
        <v>1308</v>
      </c>
      <c r="AV234" s="9"/>
      <c r="AW234" s="9"/>
      <c r="AX234" s="2">
        <v>38</v>
      </c>
      <c r="AY234" s="9" t="s">
        <v>1279</v>
      </c>
      <c r="AZ234" s="9" t="s">
        <v>991</v>
      </c>
      <c r="BA234" s="17"/>
      <c r="BB234" s="17"/>
      <c r="BC234" s="17"/>
      <c r="BD234" s="17"/>
      <c r="BE234" s="17"/>
      <c r="BF234" s="17"/>
      <c r="BG234" s="17"/>
    </row>
    <row r="235" spans="1:59">
      <c r="A235" s="2" t="s">
        <v>220</v>
      </c>
      <c r="B235" s="2" t="s">
        <v>220</v>
      </c>
      <c r="C235" s="2" t="s">
        <v>220</v>
      </c>
      <c r="E235" s="2" t="s">
        <v>279</v>
      </c>
      <c r="F235" s="2">
        <v>0</v>
      </c>
      <c r="G235" s="2">
        <f>LOG(O235)</f>
        <v>1.5791575636211264</v>
      </c>
      <c r="H235" s="2">
        <f t="shared" si="102"/>
        <v>3.7680211179332987</v>
      </c>
      <c r="I235" s="2">
        <f>LOG(X235)</f>
        <v>0</v>
      </c>
      <c r="J235" s="2">
        <f>LOG(Y235)</f>
        <v>1.6627578316815741</v>
      </c>
      <c r="K235" s="2">
        <f>LOG(AG235)</f>
        <v>1.6901960800285136</v>
      </c>
      <c r="L235" s="2">
        <f>LOG(AS235)</f>
        <v>0.72427586960078905</v>
      </c>
      <c r="M235" s="2">
        <f>LOG(AX235)</f>
        <v>1.4065401804339552</v>
      </c>
      <c r="N235" s="2">
        <v>1</v>
      </c>
      <c r="O235" s="12">
        <v>37.94526267998792</v>
      </c>
      <c r="P235" s="2">
        <v>10</v>
      </c>
      <c r="Q235" s="2" t="s">
        <v>316</v>
      </c>
      <c r="R235" s="9" t="s">
        <v>308</v>
      </c>
      <c r="S235" s="10">
        <v>5861.6666666666661</v>
      </c>
      <c r="T235" s="10">
        <v>21</v>
      </c>
      <c r="U235" s="9" t="s">
        <v>316</v>
      </c>
      <c r="V235" s="18" t="s">
        <v>424</v>
      </c>
      <c r="W235" s="2"/>
      <c r="X235" s="2">
        <v>1</v>
      </c>
      <c r="Y235" s="9">
        <v>46</v>
      </c>
      <c r="Z235" s="9"/>
      <c r="AA235" s="2">
        <f>Y235+Z235</f>
        <v>46</v>
      </c>
      <c r="AB235" s="9"/>
      <c r="AC235" s="9">
        <v>4</v>
      </c>
      <c r="AD235" s="2">
        <f>AB235+AC235</f>
        <v>4</v>
      </c>
      <c r="AE235" s="9">
        <f>AA235+AD235</f>
        <v>50</v>
      </c>
      <c r="AF235" s="9"/>
      <c r="AG235" s="9">
        <v>49</v>
      </c>
      <c r="AH235" s="2">
        <v>25</v>
      </c>
      <c r="AI235" s="9">
        <v>24</v>
      </c>
      <c r="AJ235" s="2">
        <f>AG235</f>
        <v>49</v>
      </c>
      <c r="AK235" s="9">
        <v>0</v>
      </c>
      <c r="AL235" s="9">
        <f>SUM(X235+AA235+AD235+AF235+AG235+AK235)</f>
        <v>100</v>
      </c>
      <c r="AM235" s="9" t="s">
        <v>651</v>
      </c>
      <c r="AN235" s="9" t="s">
        <v>652</v>
      </c>
      <c r="AQ235" s="2">
        <v>5.3</v>
      </c>
      <c r="AR235" s="2" t="s">
        <v>712</v>
      </c>
      <c r="AS235" s="2">
        <v>5.3</v>
      </c>
      <c r="AT235" s="9" t="s">
        <v>795</v>
      </c>
      <c r="AU235" s="9">
        <v>670</v>
      </c>
      <c r="AX235" s="2">
        <v>25.5</v>
      </c>
      <c r="AY235" s="2" t="s">
        <v>1280</v>
      </c>
      <c r="AZ235" s="9" t="s">
        <v>1147</v>
      </c>
      <c r="BA235" s="16"/>
      <c r="BB235" s="16"/>
      <c r="BC235" s="16"/>
      <c r="BD235" s="16"/>
      <c r="BE235" s="16"/>
      <c r="BF235" s="16"/>
      <c r="BG235" s="16"/>
    </row>
    <row r="236" spans="1:59">
      <c r="A236" s="2" t="s">
        <v>1379</v>
      </c>
      <c r="E236" s="2" t="s">
        <v>279</v>
      </c>
      <c r="F236" s="2">
        <v>0</v>
      </c>
      <c r="M236" s="2">
        <f>LOG(AX236)</f>
        <v>1.4771212547196624</v>
      </c>
      <c r="N236" s="2">
        <v>1</v>
      </c>
      <c r="Q236" s="2"/>
      <c r="R236" s="9"/>
      <c r="S236" s="10"/>
      <c r="T236" s="10"/>
      <c r="U236" s="9"/>
      <c r="V236" s="2"/>
      <c r="W236" s="2"/>
      <c r="Y236" s="9"/>
      <c r="Z236" s="9"/>
      <c r="AB236" s="9"/>
      <c r="AC236" s="9"/>
      <c r="AE236" s="9"/>
      <c r="AF236" s="9"/>
      <c r="AG236" s="9"/>
      <c r="AI236" s="9"/>
      <c r="AK236" s="9"/>
      <c r="AL236" s="9"/>
      <c r="AM236" s="9"/>
      <c r="AN236" s="9"/>
      <c r="AR236" s="2" t="s">
        <v>697</v>
      </c>
      <c r="AT236" s="9" t="s">
        <v>612</v>
      </c>
      <c r="AU236" s="9"/>
      <c r="AX236" s="2">
        <v>30</v>
      </c>
      <c r="AZ236" s="9" t="s">
        <v>612</v>
      </c>
      <c r="BA236" s="16"/>
      <c r="BB236" s="16"/>
      <c r="BC236" s="16"/>
      <c r="BD236" s="16"/>
      <c r="BE236" s="16"/>
      <c r="BF236" s="16"/>
      <c r="BG236" s="16"/>
    </row>
    <row r="237" spans="1:59">
      <c r="A237" s="2" t="s">
        <v>221</v>
      </c>
      <c r="B237" s="2" t="s">
        <v>221</v>
      </c>
      <c r="C237" s="2" t="s">
        <v>221</v>
      </c>
      <c r="E237" s="2" t="s">
        <v>279</v>
      </c>
      <c r="F237" s="2">
        <v>0</v>
      </c>
      <c r="H237" s="2">
        <f t="shared" si="102"/>
        <v>3.5428254269591797</v>
      </c>
      <c r="J237" s="2">
        <f t="shared" ref="J237:J242" si="118">LOG(Y237)</f>
        <v>0.92941892571429274</v>
      </c>
      <c r="K237" s="2">
        <f t="shared" ref="K237:K242" si="119">LOG(AG237)</f>
        <v>1.5910646070264991</v>
      </c>
      <c r="L237" s="2">
        <f t="shared" ref="L237:L242" si="120">LOG(AS237)</f>
        <v>0.74818802700620035</v>
      </c>
      <c r="M237" s="2">
        <f>LOG(AX237)</f>
        <v>1</v>
      </c>
      <c r="N237" s="2">
        <v>1</v>
      </c>
      <c r="Q237" s="2"/>
      <c r="R237" s="2"/>
      <c r="S237" s="13">
        <v>3490</v>
      </c>
      <c r="T237" s="10">
        <v>18</v>
      </c>
      <c r="U237" s="9" t="s">
        <v>316</v>
      </c>
      <c r="V237" s="2" t="s">
        <v>425</v>
      </c>
      <c r="W237" s="2" t="s">
        <v>328</v>
      </c>
      <c r="X237" s="2">
        <v>0</v>
      </c>
      <c r="Y237" s="2">
        <v>8.5</v>
      </c>
      <c r="Z237" s="2">
        <v>36</v>
      </c>
      <c r="AA237" s="2">
        <f t="shared" ref="AA237:AA242" si="121">Y237+Z237</f>
        <v>44.5</v>
      </c>
      <c r="AC237" s="2">
        <v>14</v>
      </c>
      <c r="AD237" s="2">
        <f t="shared" ref="AD237:AD242" si="122">AB237+AC237</f>
        <v>14</v>
      </c>
      <c r="AE237" s="9">
        <f t="shared" ref="AE237:AE242" si="123">AA237+AD237</f>
        <v>58.5</v>
      </c>
      <c r="AG237" s="9">
        <v>39</v>
      </c>
      <c r="AH237" s="2">
        <v>23</v>
      </c>
      <c r="AI237" s="2">
        <v>16</v>
      </c>
      <c r="AJ237" s="2">
        <f t="shared" ref="AJ237:AJ242" si="124">AG237</f>
        <v>39</v>
      </c>
      <c r="AK237" s="2">
        <v>2.5</v>
      </c>
      <c r="AL237" s="9">
        <f t="shared" ref="AL237:AL242" si="125">SUM(X237+AA237+AD237+AF237+AG237+AK237)</f>
        <v>100</v>
      </c>
      <c r="AN237" s="9" t="s">
        <v>653</v>
      </c>
      <c r="AQ237" s="2">
        <v>5.6</v>
      </c>
      <c r="AR237" s="2" t="s">
        <v>992</v>
      </c>
      <c r="AS237" s="2">
        <v>5.6</v>
      </c>
      <c r="AT237" s="9" t="s">
        <v>653</v>
      </c>
      <c r="AU237" s="9"/>
      <c r="AX237" s="2">
        <v>10</v>
      </c>
      <c r="AY237" s="2" t="s">
        <v>1281</v>
      </c>
      <c r="AZ237" s="9" t="s">
        <v>653</v>
      </c>
      <c r="BA237" s="16"/>
      <c r="BB237" s="16"/>
      <c r="BC237" s="16"/>
      <c r="BD237" s="16"/>
      <c r="BE237" s="16"/>
      <c r="BF237" s="16"/>
      <c r="BG237" s="16"/>
    </row>
    <row r="238" spans="1:59">
      <c r="A238" s="2" t="s">
        <v>222</v>
      </c>
      <c r="B238" s="2" t="s">
        <v>222</v>
      </c>
      <c r="C238" s="2" t="s">
        <v>222</v>
      </c>
      <c r="E238" s="2" t="s">
        <v>279</v>
      </c>
      <c r="F238" s="2">
        <v>0</v>
      </c>
      <c r="G238" s="2">
        <f>LOG(O238)</f>
        <v>1.4149460552313806</v>
      </c>
      <c r="H238" s="2">
        <f t="shared" si="102"/>
        <v>3.4445210088956784</v>
      </c>
      <c r="J238" s="2">
        <f t="shared" si="118"/>
        <v>1.5684833372716556</v>
      </c>
      <c r="K238" s="2">
        <f t="shared" si="119"/>
        <v>1.6713024635135096</v>
      </c>
      <c r="L238" s="2">
        <f t="shared" si="120"/>
        <v>0.74036268949424389</v>
      </c>
      <c r="M238" s="2">
        <f>LOG(AX238)</f>
        <v>0.81291335664285558</v>
      </c>
      <c r="N238" s="2">
        <v>1</v>
      </c>
      <c r="O238" s="12">
        <v>25.99836611111111</v>
      </c>
      <c r="P238" s="2">
        <v>36</v>
      </c>
      <c r="Q238" s="2" t="s">
        <v>316</v>
      </c>
      <c r="R238" s="9" t="s">
        <v>308</v>
      </c>
      <c r="S238" s="13">
        <v>2783.05</v>
      </c>
      <c r="T238" s="8">
        <v>386</v>
      </c>
      <c r="U238" s="9" t="s">
        <v>316</v>
      </c>
      <c r="V238" s="19" t="s">
        <v>426</v>
      </c>
      <c r="W238" s="2"/>
      <c r="X238" s="9">
        <v>0</v>
      </c>
      <c r="Y238" s="2">
        <f>AVERAGE(40.83,24.83,52,42.71,24.75)</f>
        <v>37.024000000000001</v>
      </c>
      <c r="AA238" s="2">
        <f t="shared" si="121"/>
        <v>37.024000000000001</v>
      </c>
      <c r="AC238" s="2">
        <f>AVERAGE(6.67,9.5,5.5,6.86,14)</f>
        <v>8.5060000000000002</v>
      </c>
      <c r="AD238" s="2">
        <f t="shared" si="122"/>
        <v>8.5060000000000002</v>
      </c>
      <c r="AE238" s="9">
        <f t="shared" si="123"/>
        <v>45.53</v>
      </c>
      <c r="AG238" s="9">
        <v>46.914000000000001</v>
      </c>
      <c r="AH238" s="2">
        <f>AVERAGE(23.17,29.33,3.17,7.57,6)</f>
        <v>13.848000000000003</v>
      </c>
      <c r="AI238" s="2">
        <f>AVERAGE(15.83,22.67,35.33,39,52.5)</f>
        <v>33.065999999999995</v>
      </c>
      <c r="AJ238" s="2">
        <f t="shared" si="124"/>
        <v>46.914000000000001</v>
      </c>
      <c r="AK238" s="2">
        <f>AVERAGE(13.5,13.67,4,3.86,2.75)</f>
        <v>7.556</v>
      </c>
      <c r="AL238" s="9">
        <f t="shared" si="125"/>
        <v>100</v>
      </c>
      <c r="AM238" s="9" t="s">
        <v>458</v>
      </c>
      <c r="AN238" s="9" t="s">
        <v>654</v>
      </c>
      <c r="AQ238" s="9">
        <v>5.5</v>
      </c>
      <c r="AR238" s="9" t="s">
        <v>993</v>
      </c>
      <c r="AS238" s="9">
        <v>5.5</v>
      </c>
      <c r="AT238" s="9" t="s">
        <v>853</v>
      </c>
      <c r="AU238" s="9"/>
      <c r="AV238" s="9"/>
      <c r="AW238" s="9"/>
      <c r="AX238" s="2">
        <v>6.5</v>
      </c>
      <c r="AY238" s="9" t="s">
        <v>857</v>
      </c>
      <c r="AZ238" s="9" t="s">
        <v>795</v>
      </c>
      <c r="BA238" s="17"/>
      <c r="BB238" s="17"/>
      <c r="BC238" s="17"/>
      <c r="BD238" s="17"/>
      <c r="BE238" s="17"/>
      <c r="BF238" s="17"/>
      <c r="BG238" s="17"/>
    </row>
    <row r="239" spans="1:59">
      <c r="A239" s="2" t="s">
        <v>223</v>
      </c>
      <c r="B239" s="2" t="s">
        <v>223</v>
      </c>
      <c r="C239" s="2" t="s">
        <v>223</v>
      </c>
      <c r="D239" s="2" t="s">
        <v>292</v>
      </c>
      <c r="E239" s="2" t="s">
        <v>272</v>
      </c>
      <c r="F239" s="2">
        <v>0</v>
      </c>
      <c r="G239" s="2">
        <f>LOG(O239)</f>
        <v>1.9770373352246813</v>
      </c>
      <c r="H239" s="2">
        <f t="shared" si="102"/>
        <v>3.999130541287371</v>
      </c>
      <c r="J239" s="2">
        <f t="shared" si="118"/>
        <v>1.4065401804339552</v>
      </c>
      <c r="K239" s="2">
        <f t="shared" si="119"/>
        <v>1.8603380065709938</v>
      </c>
      <c r="L239" s="2">
        <f t="shared" si="120"/>
        <v>1.1903316981702914</v>
      </c>
      <c r="N239" s="2">
        <v>1</v>
      </c>
      <c r="O239" s="12">
        <v>94.85</v>
      </c>
      <c r="P239" s="2">
        <v>5</v>
      </c>
      <c r="Q239" s="2" t="s">
        <v>316</v>
      </c>
      <c r="R239" s="9" t="s">
        <v>427</v>
      </c>
      <c r="S239" s="13">
        <v>9980</v>
      </c>
      <c r="T239" s="8">
        <v>8</v>
      </c>
      <c r="U239" s="9" t="s">
        <v>305</v>
      </c>
      <c r="V239" s="20" t="s">
        <v>428</v>
      </c>
      <c r="W239" s="2"/>
      <c r="X239" s="9">
        <v>0</v>
      </c>
      <c r="Y239" s="9">
        <f>AVERAGE(14,37)</f>
        <v>25.5</v>
      </c>
      <c r="Z239" s="9"/>
      <c r="AA239" s="2">
        <f t="shared" si="121"/>
        <v>25.5</v>
      </c>
      <c r="AB239" s="9"/>
      <c r="AC239" s="9">
        <f>AVERAGE(4,0)</f>
        <v>2</v>
      </c>
      <c r="AD239" s="2">
        <f t="shared" si="122"/>
        <v>2</v>
      </c>
      <c r="AE239" s="9">
        <f t="shared" si="123"/>
        <v>27.5</v>
      </c>
      <c r="AF239" s="9"/>
      <c r="AG239" s="9">
        <v>72.5</v>
      </c>
      <c r="AH239" s="9">
        <f>AVERAGE(82,63)</f>
        <v>72.5</v>
      </c>
      <c r="AI239" s="9">
        <v>0</v>
      </c>
      <c r="AJ239" s="2">
        <f t="shared" si="124"/>
        <v>72.5</v>
      </c>
      <c r="AK239" s="9">
        <v>0</v>
      </c>
      <c r="AL239" s="9">
        <f t="shared" si="125"/>
        <v>100</v>
      </c>
      <c r="AM239" s="9" t="s">
        <v>495</v>
      </c>
      <c r="AN239" s="9" t="s">
        <v>655</v>
      </c>
      <c r="AO239" s="9"/>
      <c r="AP239" s="9"/>
      <c r="AQ239" s="9">
        <v>15.5</v>
      </c>
      <c r="AR239" s="9" t="s">
        <v>994</v>
      </c>
      <c r="AS239" s="9">
        <v>15.5</v>
      </c>
      <c r="AT239" s="9" t="s">
        <v>995</v>
      </c>
      <c r="AU239" s="9"/>
      <c r="AV239" s="9"/>
      <c r="AW239" s="9"/>
      <c r="AX239" s="9"/>
      <c r="AY239" s="9"/>
      <c r="AZ239" s="9"/>
      <c r="BA239" s="17"/>
      <c r="BB239" s="17"/>
      <c r="BC239" s="17"/>
      <c r="BD239" s="17"/>
      <c r="BE239" s="17"/>
      <c r="BF239" s="17"/>
      <c r="BG239" s="17"/>
    </row>
    <row r="240" spans="1:59">
      <c r="A240" s="2" t="s">
        <v>224</v>
      </c>
      <c r="B240" s="2" t="s">
        <v>224</v>
      </c>
      <c r="C240" s="2" t="s">
        <v>224</v>
      </c>
      <c r="D240" s="2" t="s">
        <v>292</v>
      </c>
      <c r="E240" s="2" t="s">
        <v>272</v>
      </c>
      <c r="F240" s="2">
        <v>0</v>
      </c>
      <c r="G240" s="2">
        <f>LOG(O240)</f>
        <v>1.9227393721435488</v>
      </c>
      <c r="H240" s="2">
        <f t="shared" si="102"/>
        <v>3.9486183267695809</v>
      </c>
      <c r="J240" s="2">
        <f t="shared" si="118"/>
        <v>1.4623979978989561</v>
      </c>
      <c r="K240" s="2">
        <f t="shared" si="119"/>
        <v>1.7323937598229686</v>
      </c>
      <c r="L240" s="2">
        <f t="shared" si="120"/>
        <v>1.3802112417116059</v>
      </c>
      <c r="N240" s="2">
        <v>1</v>
      </c>
      <c r="O240" s="12">
        <v>83.702681666666663</v>
      </c>
      <c r="P240" s="2">
        <v>6</v>
      </c>
      <c r="Q240" s="2" t="s">
        <v>316</v>
      </c>
      <c r="R240" s="9" t="s">
        <v>308</v>
      </c>
      <c r="S240" s="13">
        <v>8884.2000000000007</v>
      </c>
      <c r="T240" s="8">
        <v>5</v>
      </c>
      <c r="U240" s="9" t="s">
        <v>305</v>
      </c>
      <c r="V240" s="18" t="s">
        <v>429</v>
      </c>
      <c r="W240" s="2"/>
      <c r="X240" s="9">
        <v>0</v>
      </c>
      <c r="Y240" s="9">
        <v>29</v>
      </c>
      <c r="Z240" s="9"/>
      <c r="AA240" s="2">
        <f t="shared" si="121"/>
        <v>29</v>
      </c>
      <c r="AB240" s="9"/>
      <c r="AC240" s="9">
        <v>14</v>
      </c>
      <c r="AD240" s="2">
        <f t="shared" si="122"/>
        <v>14</v>
      </c>
      <c r="AE240" s="9">
        <f t="shared" si="123"/>
        <v>43</v>
      </c>
      <c r="AF240" s="9"/>
      <c r="AG240" s="9">
        <v>54</v>
      </c>
      <c r="AH240" s="9"/>
      <c r="AI240" s="9"/>
      <c r="AJ240" s="2">
        <f t="shared" si="124"/>
        <v>54</v>
      </c>
      <c r="AK240" s="9">
        <v>3</v>
      </c>
      <c r="AL240" s="9">
        <f t="shared" si="125"/>
        <v>100</v>
      </c>
      <c r="AM240" s="9" t="s">
        <v>460</v>
      </c>
      <c r="AN240" s="9" t="s">
        <v>656</v>
      </c>
      <c r="AO240" s="9"/>
      <c r="AP240" s="9"/>
      <c r="AQ240" s="9">
        <v>24</v>
      </c>
      <c r="AR240" s="9"/>
      <c r="AS240" s="9">
        <v>24</v>
      </c>
      <c r="AT240" s="9" t="s">
        <v>996</v>
      </c>
      <c r="AU240" s="9"/>
      <c r="AV240" s="9"/>
      <c r="AW240" s="9"/>
      <c r="AX240" s="9"/>
      <c r="AY240" s="9"/>
      <c r="AZ240" s="9"/>
      <c r="BA240" s="17"/>
      <c r="BB240" s="17"/>
      <c r="BC240" s="17"/>
      <c r="BD240" s="17"/>
      <c r="BE240" s="17"/>
      <c r="BF240" s="17"/>
      <c r="BG240" s="17"/>
    </row>
    <row r="241" spans="1:59">
      <c r="A241" s="2" t="s">
        <v>225</v>
      </c>
      <c r="B241" s="2" t="s">
        <v>225</v>
      </c>
      <c r="C241" s="2" t="s">
        <v>225</v>
      </c>
      <c r="D241" s="2" t="s">
        <v>292</v>
      </c>
      <c r="E241" s="2" t="s">
        <v>272</v>
      </c>
      <c r="F241" s="2">
        <v>0</v>
      </c>
      <c r="H241" s="2">
        <f t="shared" si="102"/>
        <v>3.9294189257142929</v>
      </c>
      <c r="J241" s="2">
        <f t="shared" si="118"/>
        <v>1.4629966120280562</v>
      </c>
      <c r="K241" s="2">
        <f t="shared" si="119"/>
        <v>1.6540320740110508</v>
      </c>
      <c r="L241" s="2">
        <f t="shared" si="120"/>
        <v>1.0863598306747482</v>
      </c>
      <c r="M241" s="2">
        <f>LOG(AX241)</f>
        <v>3.0413926851582249</v>
      </c>
      <c r="N241" s="2">
        <v>1</v>
      </c>
      <c r="Q241" s="2"/>
      <c r="R241" s="9"/>
      <c r="S241" s="13">
        <v>8500</v>
      </c>
      <c r="T241" s="8"/>
      <c r="U241" s="9" t="s">
        <v>326</v>
      </c>
      <c r="V241" s="2" t="s">
        <v>430</v>
      </c>
      <c r="W241" s="2"/>
      <c r="X241" s="9">
        <v>0</v>
      </c>
      <c r="Y241" s="9">
        <f>AVERAGE(47,24,10,17,47.2)</f>
        <v>29.04</v>
      </c>
      <c r="Z241" s="9">
        <f>AVERAGE(15,14,8.47,5.56)</f>
        <v>10.7575</v>
      </c>
      <c r="AA241" s="2">
        <f t="shared" si="121"/>
        <v>39.797499999999999</v>
      </c>
      <c r="AB241" s="9"/>
      <c r="AC241" s="9">
        <f>AVERAGE(10.17,18.64,8.33)</f>
        <v>12.38</v>
      </c>
      <c r="AD241" s="2">
        <f t="shared" si="122"/>
        <v>12.38</v>
      </c>
      <c r="AE241" s="9">
        <f t="shared" si="123"/>
        <v>52.177500000000002</v>
      </c>
      <c r="AF241" s="9"/>
      <c r="AG241" s="9">
        <v>45.084999999999994</v>
      </c>
      <c r="AH241" s="9">
        <f>AVERAGE(38,42.37,52.54,11.11)</f>
        <v>36.004999999999995</v>
      </c>
      <c r="AI241" s="9">
        <f>AVERAGE(8,10.16)</f>
        <v>9.08</v>
      </c>
      <c r="AJ241" s="2">
        <f t="shared" si="124"/>
        <v>45.084999999999994</v>
      </c>
      <c r="AK241" s="9">
        <v>2.7</v>
      </c>
      <c r="AL241" s="9">
        <f t="shared" si="125"/>
        <v>99.962499999999991</v>
      </c>
      <c r="AM241" s="9" t="s">
        <v>458</v>
      </c>
      <c r="AN241" s="9" t="s">
        <v>657</v>
      </c>
      <c r="AO241" s="9"/>
      <c r="AP241" s="9"/>
      <c r="AQ241" s="9">
        <f>AVERAGE(15,10,18,6,12)</f>
        <v>12.2</v>
      </c>
      <c r="AR241" s="9"/>
      <c r="AS241" s="9">
        <v>12.2</v>
      </c>
      <c r="AT241" s="9" t="s">
        <v>657</v>
      </c>
      <c r="AU241" s="9"/>
      <c r="AV241" s="9"/>
      <c r="AW241" s="9"/>
      <c r="AX241" s="9">
        <v>1100</v>
      </c>
      <c r="AY241" s="9"/>
      <c r="AZ241" s="9" t="s">
        <v>1282</v>
      </c>
      <c r="BA241" s="17"/>
      <c r="BB241" s="17"/>
      <c r="BC241" s="17"/>
      <c r="BD241" s="17"/>
      <c r="BE241" s="17"/>
      <c r="BF241" s="17"/>
      <c r="BG241" s="17"/>
    </row>
    <row r="242" spans="1:59">
      <c r="A242" s="2" t="s">
        <v>226</v>
      </c>
      <c r="B242" s="2" t="s">
        <v>226</v>
      </c>
      <c r="C242" s="2" t="s">
        <v>226</v>
      </c>
      <c r="D242" s="2" t="s">
        <v>292</v>
      </c>
      <c r="E242" s="2" t="s">
        <v>272</v>
      </c>
      <c r="F242" s="2">
        <v>0</v>
      </c>
      <c r="G242" s="2">
        <f t="shared" ref="G242:G248" si="126">LOG(O242)</f>
        <v>2.0596175052644239</v>
      </c>
      <c r="H242" s="2">
        <f t="shared" si="102"/>
        <v>3.9590413923210934</v>
      </c>
      <c r="I242" s="2">
        <f>LOG(X242)</f>
        <v>-0.22184874961635639</v>
      </c>
      <c r="J242" s="2">
        <f t="shared" si="118"/>
        <v>1.0569048513364727</v>
      </c>
      <c r="K242" s="2">
        <f t="shared" si="119"/>
        <v>1.9395192526186185</v>
      </c>
      <c r="L242" s="2">
        <f t="shared" si="120"/>
        <v>1.1760912590556813</v>
      </c>
      <c r="M242" s="2">
        <f>LOG(AX242)</f>
        <v>3.5093369580176441</v>
      </c>
      <c r="N242" s="2">
        <v>1</v>
      </c>
      <c r="O242" s="12">
        <v>114.71428571428571</v>
      </c>
      <c r="P242" s="2">
        <v>7</v>
      </c>
      <c r="Q242" s="2" t="s">
        <v>316</v>
      </c>
      <c r="R242" s="9" t="s">
        <v>308</v>
      </c>
      <c r="S242" s="8">
        <v>9100</v>
      </c>
      <c r="T242" s="8">
        <v>7</v>
      </c>
      <c r="U242" s="9" t="s">
        <v>305</v>
      </c>
      <c r="V242" s="20" t="s">
        <v>431</v>
      </c>
      <c r="W242" s="2"/>
      <c r="X242" s="9">
        <v>0.6</v>
      </c>
      <c r="Y242" s="9">
        <v>11.4</v>
      </c>
      <c r="Z242" s="9">
        <v>0.1</v>
      </c>
      <c r="AA242" s="2">
        <f t="shared" si="121"/>
        <v>11.5</v>
      </c>
      <c r="AB242" s="9"/>
      <c r="AC242" s="9">
        <v>0</v>
      </c>
      <c r="AD242" s="2">
        <f t="shared" si="122"/>
        <v>0</v>
      </c>
      <c r="AE242" s="9">
        <f t="shared" si="123"/>
        <v>11.5</v>
      </c>
      <c r="AF242" s="9"/>
      <c r="AG242" s="9">
        <v>87</v>
      </c>
      <c r="AH242" s="9">
        <v>12.4</v>
      </c>
      <c r="AI242" s="9">
        <v>4.0999999999999996</v>
      </c>
      <c r="AJ242" s="9">
        <f t="shared" si="124"/>
        <v>87</v>
      </c>
      <c r="AK242" s="9">
        <v>0.9</v>
      </c>
      <c r="AL242" s="9">
        <f t="shared" si="125"/>
        <v>100</v>
      </c>
      <c r="AM242" s="9" t="s">
        <v>460</v>
      </c>
      <c r="AN242" s="9" t="s">
        <v>658</v>
      </c>
      <c r="AQ242" s="9">
        <v>15</v>
      </c>
      <c r="AR242" s="9" t="s">
        <v>997</v>
      </c>
      <c r="AS242" s="9">
        <v>15</v>
      </c>
      <c r="AT242" s="9" t="s">
        <v>998</v>
      </c>
      <c r="AU242" s="9"/>
      <c r="AV242" s="9"/>
      <c r="AW242" s="9"/>
      <c r="AX242" s="9">
        <v>3231</v>
      </c>
      <c r="AY242" s="9" t="s">
        <v>1283</v>
      </c>
      <c r="AZ242" s="9" t="s">
        <v>1284</v>
      </c>
      <c r="BA242" s="17"/>
      <c r="BB242" s="17"/>
      <c r="BC242" s="17"/>
      <c r="BD242" s="17"/>
      <c r="BE242" s="17"/>
      <c r="BF242" s="17"/>
      <c r="BG242" s="17"/>
    </row>
    <row r="243" spans="1:59">
      <c r="A243" s="2" t="s">
        <v>227</v>
      </c>
      <c r="B243" s="2" t="s">
        <v>227</v>
      </c>
      <c r="C243" s="2" t="s">
        <v>227</v>
      </c>
      <c r="D243" s="2" t="s">
        <v>292</v>
      </c>
      <c r="E243" s="2" t="s">
        <v>272</v>
      </c>
      <c r="F243" s="2">
        <v>0</v>
      </c>
      <c r="G243" s="2">
        <f t="shared" si="126"/>
        <v>2.0472748673841794</v>
      </c>
      <c r="N243" s="2">
        <v>1</v>
      </c>
      <c r="O243" s="12">
        <v>111.5</v>
      </c>
      <c r="P243" s="2">
        <v>1</v>
      </c>
      <c r="Q243" s="9" t="s">
        <v>305</v>
      </c>
      <c r="R243" s="9" t="s">
        <v>308</v>
      </c>
      <c r="S243" s="13"/>
      <c r="T243" s="8"/>
      <c r="U243" s="9"/>
      <c r="V243" s="2"/>
      <c r="W243" s="2"/>
      <c r="X243" s="9"/>
      <c r="Y243" s="9"/>
      <c r="Z243" s="9"/>
      <c r="AB243" s="9"/>
      <c r="AC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 t="s">
        <v>659</v>
      </c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17"/>
      <c r="BB243" s="17"/>
      <c r="BC243" s="17"/>
      <c r="BD243" s="17"/>
      <c r="BE243" s="17"/>
      <c r="BF243" s="17"/>
      <c r="BG243" s="17"/>
    </row>
    <row r="244" spans="1:59">
      <c r="A244" s="2" t="s">
        <v>228</v>
      </c>
      <c r="B244" s="2" t="s">
        <v>228</v>
      </c>
      <c r="C244" s="2" t="s">
        <v>228</v>
      </c>
      <c r="D244" s="2" t="s">
        <v>292</v>
      </c>
      <c r="E244" s="2" t="s">
        <v>272</v>
      </c>
      <c r="F244" s="2">
        <v>0</v>
      </c>
      <c r="G244" s="2">
        <f t="shared" si="126"/>
        <v>2.062714278710752</v>
      </c>
      <c r="H244" s="2">
        <f t="shared" si="102"/>
        <v>3.9261022489840625</v>
      </c>
      <c r="I244" s="2">
        <f>LOG(X244)</f>
        <v>-0.3010299956639812</v>
      </c>
      <c r="J244" s="2">
        <f>LOG(Y244)</f>
        <v>1.171141151028382</v>
      </c>
      <c r="K244" s="2">
        <f>LOG(AG244)</f>
        <v>1.8348020540486991</v>
      </c>
      <c r="L244" s="2">
        <f t="shared" ref="L244:L249" si="127">LOG(AS244)</f>
        <v>1.0791812460476249</v>
      </c>
      <c r="M244" s="2">
        <f t="shared" ref="M244:M257" si="128">LOG(AX244)</f>
        <v>3.3521825181113627</v>
      </c>
      <c r="N244" s="2">
        <v>1</v>
      </c>
      <c r="O244" s="12">
        <v>115.5351888888889</v>
      </c>
      <c r="P244" s="2">
        <v>9</v>
      </c>
      <c r="Q244" s="2" t="s">
        <v>316</v>
      </c>
      <c r="R244" s="9" t="s">
        <v>308</v>
      </c>
      <c r="S244" s="8">
        <v>8435.3333333333339</v>
      </c>
      <c r="T244" s="8"/>
      <c r="U244" s="9" t="s">
        <v>305</v>
      </c>
      <c r="V244" s="20" t="s">
        <v>432</v>
      </c>
      <c r="W244" s="2"/>
      <c r="X244" s="9">
        <v>0.5</v>
      </c>
      <c r="Y244" s="9">
        <f>29.4-14.57</f>
        <v>14.829999999999998</v>
      </c>
      <c r="Z244" s="9">
        <v>14.57</v>
      </c>
      <c r="AA244" s="2">
        <f>Y244+Z244</f>
        <v>29.4</v>
      </c>
      <c r="AB244" s="9"/>
      <c r="AC244" s="9">
        <v>1.1299999999999999</v>
      </c>
      <c r="AD244" s="9">
        <f>AB244+AC244</f>
        <v>1.1299999999999999</v>
      </c>
      <c r="AE244" s="9">
        <f>AA244+AD244</f>
        <v>30.529999999999998</v>
      </c>
      <c r="AF244" s="9"/>
      <c r="AG244" s="9">
        <v>68.36</v>
      </c>
      <c r="AH244" s="9">
        <v>28.71</v>
      </c>
      <c r="AI244" s="9">
        <v>3.51</v>
      </c>
      <c r="AJ244" s="2">
        <f>AG244</f>
        <v>68.36</v>
      </c>
      <c r="AK244" s="9">
        <v>0.6</v>
      </c>
      <c r="AL244" s="9">
        <f>SUM(X244+AE244+AF244+AG244+AK244)</f>
        <v>99.99</v>
      </c>
      <c r="AM244" s="9" t="s">
        <v>460</v>
      </c>
      <c r="AN244" s="9" t="s">
        <v>660</v>
      </c>
      <c r="AQ244" s="9">
        <v>12</v>
      </c>
      <c r="AR244" s="9" t="s">
        <v>999</v>
      </c>
      <c r="AS244" s="9">
        <v>12</v>
      </c>
      <c r="AT244" s="9" t="s">
        <v>641</v>
      </c>
      <c r="AU244" s="9"/>
      <c r="AV244" s="9"/>
      <c r="AW244" s="9"/>
      <c r="AX244" s="9">
        <v>2250</v>
      </c>
      <c r="AY244" s="9" t="s">
        <v>1285</v>
      </c>
      <c r="AZ244" s="9" t="s">
        <v>1286</v>
      </c>
      <c r="BA244" s="17"/>
      <c r="BB244" s="17"/>
      <c r="BC244" s="17"/>
      <c r="BD244" s="17"/>
      <c r="BE244" s="17"/>
      <c r="BF244" s="17"/>
      <c r="BG244" s="17"/>
    </row>
    <row r="245" spans="1:59">
      <c r="A245" s="2" t="s">
        <v>229</v>
      </c>
      <c r="B245" s="2" t="s">
        <v>229</v>
      </c>
      <c r="C245" s="2" t="s">
        <v>229</v>
      </c>
      <c r="E245" s="2" t="s">
        <v>281</v>
      </c>
      <c r="F245" s="2">
        <v>0</v>
      </c>
      <c r="G245" s="2">
        <f t="shared" si="126"/>
        <v>0.96378782734555524</v>
      </c>
      <c r="H245" s="2">
        <f t="shared" si="102"/>
        <v>2.6324572921847245</v>
      </c>
      <c r="J245" s="2">
        <f>LOG(Y245)</f>
        <v>1.9827233876685453</v>
      </c>
      <c r="L245" s="2">
        <f t="shared" si="127"/>
        <v>0.69019608002851374</v>
      </c>
      <c r="M245" s="2">
        <f t="shared" si="128"/>
        <v>1.0791812460476249</v>
      </c>
      <c r="N245" s="2">
        <v>1</v>
      </c>
      <c r="O245" s="12">
        <v>9.1999999999999993</v>
      </c>
      <c r="P245" s="2">
        <v>1</v>
      </c>
      <c r="Q245" s="2" t="s">
        <v>318</v>
      </c>
      <c r="R245" s="9" t="s">
        <v>308</v>
      </c>
      <c r="S245" s="13">
        <v>429</v>
      </c>
      <c r="T245" s="8">
        <v>8</v>
      </c>
      <c r="U245" s="9" t="s">
        <v>316</v>
      </c>
      <c r="V245" s="2" t="s">
        <v>307</v>
      </c>
      <c r="W245" s="2"/>
      <c r="X245" s="9">
        <v>0</v>
      </c>
      <c r="Y245" s="9">
        <v>96.1</v>
      </c>
      <c r="Z245" s="9"/>
      <c r="AA245" s="2">
        <f>Y245+Z245</f>
        <v>96.1</v>
      </c>
      <c r="AB245" s="9"/>
      <c r="AC245" s="9">
        <v>0.9</v>
      </c>
      <c r="AD245" s="9">
        <f>AB245+AC245</f>
        <v>0.9</v>
      </c>
      <c r="AE245" s="9">
        <f>AA245+AD245</f>
        <v>97</v>
      </c>
      <c r="AF245" s="9">
        <v>3</v>
      </c>
      <c r="AG245" s="9">
        <v>0</v>
      </c>
      <c r="AH245" s="9"/>
      <c r="AI245" s="9"/>
      <c r="AJ245" s="9"/>
      <c r="AK245" s="9">
        <v>0</v>
      </c>
      <c r="AL245" s="9">
        <f>SUM(X245+AE245+AF245+AG245+AK245)</f>
        <v>100</v>
      </c>
      <c r="AM245" s="9" t="s">
        <v>460</v>
      </c>
      <c r="AN245" s="9" t="s">
        <v>661</v>
      </c>
      <c r="AQ245" s="9">
        <f>AVERAGE(5,4.8)</f>
        <v>4.9000000000000004</v>
      </c>
      <c r="AR245" s="9" t="s">
        <v>1000</v>
      </c>
      <c r="AS245" s="9">
        <v>4.9000000000000004</v>
      </c>
      <c r="AT245" s="9" t="s">
        <v>1001</v>
      </c>
      <c r="AU245" s="9"/>
      <c r="AV245" s="9"/>
      <c r="AW245" s="9"/>
      <c r="AX245" s="9">
        <v>12</v>
      </c>
      <c r="AY245" s="9"/>
      <c r="AZ245" s="9" t="s">
        <v>1287</v>
      </c>
      <c r="BA245" s="17"/>
      <c r="BB245" s="17"/>
      <c r="BC245" s="17"/>
      <c r="BD245" s="17"/>
      <c r="BE245" s="17"/>
      <c r="BF245" s="17"/>
      <c r="BG245" s="17"/>
    </row>
    <row r="246" spans="1:59">
      <c r="A246" s="2" t="s">
        <v>230</v>
      </c>
      <c r="B246" s="2" t="s">
        <v>230</v>
      </c>
      <c r="C246" s="2" t="s">
        <v>230</v>
      </c>
      <c r="E246" s="2" t="s">
        <v>281</v>
      </c>
      <c r="F246" s="2">
        <v>0</v>
      </c>
      <c r="G246" s="2">
        <f t="shared" si="126"/>
        <v>0.91178216910130272</v>
      </c>
      <c r="H246" s="2">
        <f t="shared" si="102"/>
        <v>2.6032990634435107</v>
      </c>
      <c r="I246" s="2">
        <f>LOG(X246)</f>
        <v>1.5792117802314991</v>
      </c>
      <c r="J246" s="2">
        <f>LOG(Y246)</f>
        <v>1.5910646070264991</v>
      </c>
      <c r="L246" s="2">
        <f t="shared" si="127"/>
        <v>0.78345691207106272</v>
      </c>
      <c r="M246" s="2">
        <f t="shared" si="128"/>
        <v>1.9294189257142926</v>
      </c>
      <c r="N246" s="2">
        <v>1</v>
      </c>
      <c r="O246" s="12">
        <v>8.161728974245273</v>
      </c>
      <c r="P246" s="2">
        <v>43</v>
      </c>
      <c r="Q246" s="2" t="s">
        <v>316</v>
      </c>
      <c r="R246" s="9" t="s">
        <v>308</v>
      </c>
      <c r="S246" s="13">
        <v>401.14285714285717</v>
      </c>
      <c r="T246" s="8">
        <v>21</v>
      </c>
      <c r="U246" s="9" t="s">
        <v>316</v>
      </c>
      <c r="V246" s="9" t="s">
        <v>312</v>
      </c>
      <c r="W246" s="9" t="s">
        <v>311</v>
      </c>
      <c r="X246" s="2">
        <f>AVERAGE(28.2,47.7)</f>
        <v>37.950000000000003</v>
      </c>
      <c r="Y246" s="9">
        <v>39</v>
      </c>
      <c r="Z246" s="9">
        <v>0</v>
      </c>
      <c r="AA246" s="9">
        <f>AVERAGE(39,55.3)-2.4</f>
        <v>44.75</v>
      </c>
      <c r="AB246" s="9">
        <v>5</v>
      </c>
      <c r="AC246" s="9"/>
      <c r="AD246" s="9">
        <f>AB246+AC246</f>
        <v>5</v>
      </c>
      <c r="AE246" s="9">
        <f>AD246+AA246</f>
        <v>49.75</v>
      </c>
      <c r="AF246" s="9">
        <f>AVERAGE(16.5,8)</f>
        <v>12.25</v>
      </c>
      <c r="AG246" s="9">
        <v>0</v>
      </c>
      <c r="AH246" s="2">
        <v>0</v>
      </c>
      <c r="AI246" s="2">
        <v>0</v>
      </c>
      <c r="AJ246" s="2">
        <f>AG246</f>
        <v>0</v>
      </c>
      <c r="AK246" s="9">
        <v>0</v>
      </c>
      <c r="AL246" s="9">
        <f>SUM(X246+AA246+AD246+AF246+AG246+AK246)</f>
        <v>99.95</v>
      </c>
      <c r="AM246" s="9" t="s">
        <v>489</v>
      </c>
      <c r="AN246" s="9" t="s">
        <v>662</v>
      </c>
      <c r="AO246" s="9"/>
      <c r="AP246" s="9"/>
      <c r="AQ246" s="9">
        <f>AVERAGE(5.9,7,5.5,5.69,5.4,4.7,6,8.4)</f>
        <v>6.0737500000000004</v>
      </c>
      <c r="AR246" s="9" t="s">
        <v>970</v>
      </c>
      <c r="AS246" s="9">
        <v>6.0737500000000004</v>
      </c>
      <c r="AT246" s="9" t="s">
        <v>1002</v>
      </c>
      <c r="AU246" s="9">
        <f>AVERAGE(1800,1991,1247,1405)</f>
        <v>1610.75</v>
      </c>
      <c r="AV246" s="9"/>
      <c r="AW246" s="9"/>
      <c r="AX246" s="9">
        <v>85</v>
      </c>
      <c r="AY246" s="9" t="s">
        <v>1288</v>
      </c>
      <c r="AZ246" s="9" t="s">
        <v>504</v>
      </c>
      <c r="BA246" s="17"/>
      <c r="BB246" s="17"/>
      <c r="BC246" s="17"/>
      <c r="BD246" s="17"/>
      <c r="BE246" s="17"/>
      <c r="BF246" s="17"/>
      <c r="BG246" s="17"/>
    </row>
    <row r="247" spans="1:59">
      <c r="A247" s="2" t="s">
        <v>231</v>
      </c>
      <c r="B247" s="2" t="s">
        <v>231</v>
      </c>
      <c r="C247" s="2" t="s">
        <v>231</v>
      </c>
      <c r="E247" s="2" t="s">
        <v>281</v>
      </c>
      <c r="F247" s="2">
        <v>0</v>
      </c>
      <c r="G247" s="2">
        <f t="shared" si="126"/>
        <v>1.0037691351133708</v>
      </c>
      <c r="H247" s="2">
        <f t="shared" si="102"/>
        <v>2.7115436208498482</v>
      </c>
      <c r="I247" s="2">
        <f>LOG(X247)</f>
        <v>1.5954962218255742</v>
      </c>
      <c r="J247" s="2">
        <f>LOG(Y247)</f>
        <v>1.541579243946581</v>
      </c>
      <c r="K247" s="2">
        <f>LOG(AG247)</f>
        <v>0.6020599913279624</v>
      </c>
      <c r="L247" s="2">
        <f t="shared" si="127"/>
        <v>0.7888751157754168</v>
      </c>
      <c r="M247" s="2">
        <f t="shared" si="128"/>
        <v>1.417194807964776</v>
      </c>
      <c r="N247" s="2">
        <v>1</v>
      </c>
      <c r="O247" s="12">
        <v>10.087165238990638</v>
      </c>
      <c r="P247" s="2">
        <v>27</v>
      </c>
      <c r="Q247" s="2" t="s">
        <v>316</v>
      </c>
      <c r="R247" s="9" t="s">
        <v>308</v>
      </c>
      <c r="S247" s="13">
        <v>514.6875</v>
      </c>
      <c r="T247" s="8">
        <v>16</v>
      </c>
      <c r="U247" s="9" t="s">
        <v>316</v>
      </c>
      <c r="V247" s="9" t="s">
        <v>312</v>
      </c>
      <c r="W247" s="2" t="s">
        <v>311</v>
      </c>
      <c r="X247" s="9">
        <v>39.4</v>
      </c>
      <c r="Y247" s="9">
        <v>34.799999999999997</v>
      </c>
      <c r="Z247" s="9">
        <v>1.5</v>
      </c>
      <c r="AA247" s="9">
        <f>Y247+Z247</f>
        <v>36.299999999999997</v>
      </c>
      <c r="AB247" s="9"/>
      <c r="AC247" s="9">
        <v>0.1</v>
      </c>
      <c r="AD247" s="9">
        <f>AB247+AC247</f>
        <v>0.1</v>
      </c>
      <c r="AE247" s="9">
        <f>AA247+AD247</f>
        <v>36.4</v>
      </c>
      <c r="AF247" s="9">
        <v>14.4</v>
      </c>
      <c r="AG247" s="9">
        <v>4</v>
      </c>
      <c r="AH247" s="9"/>
      <c r="AI247" s="9"/>
      <c r="AJ247" s="9">
        <f>AG247</f>
        <v>4</v>
      </c>
      <c r="AK247" s="9">
        <v>5.8</v>
      </c>
      <c r="AL247" s="9">
        <f>SUM(X247+AA247+AD247+AF247+AG247+AK247)</f>
        <v>99.999999999999986</v>
      </c>
      <c r="AM247" s="9"/>
      <c r="AN247" s="9" t="s">
        <v>663</v>
      </c>
      <c r="AO247" s="9"/>
      <c r="AP247" s="9"/>
      <c r="AQ247" s="9">
        <f>AVERAGE(6.9,5.4)</f>
        <v>6.15</v>
      </c>
      <c r="AR247" s="9" t="s">
        <v>1003</v>
      </c>
      <c r="AS247" s="9">
        <f>AQ247</f>
        <v>6.15</v>
      </c>
      <c r="AT247" s="9" t="s">
        <v>1004</v>
      </c>
      <c r="AU247" s="9">
        <v>2061</v>
      </c>
      <c r="AV247" s="9"/>
      <c r="AW247" s="9"/>
      <c r="AX247" s="9">
        <v>26.133333333333336</v>
      </c>
      <c r="AY247" s="9"/>
      <c r="AZ247" s="9" t="s">
        <v>1289</v>
      </c>
      <c r="BA247" s="17"/>
      <c r="BB247" s="17"/>
      <c r="BC247" s="17"/>
      <c r="BD247" s="17"/>
      <c r="BE247" s="17"/>
      <c r="BF247" s="17"/>
      <c r="BG247" s="17"/>
    </row>
    <row r="248" spans="1:59">
      <c r="A248" s="2" t="s">
        <v>232</v>
      </c>
      <c r="B248" s="2" t="s">
        <v>232</v>
      </c>
      <c r="C248" s="2" t="s">
        <v>232</v>
      </c>
      <c r="E248" s="2" t="s">
        <v>281</v>
      </c>
      <c r="F248" s="2">
        <v>0</v>
      </c>
      <c r="G248" s="2">
        <f t="shared" si="126"/>
        <v>1.0293837776852097</v>
      </c>
      <c r="I248" s="2">
        <f>LOG(X248)</f>
        <v>0.57978359661681012</v>
      </c>
      <c r="J248" s="2">
        <f>LOG(Y248)</f>
        <v>1.8388490907372552</v>
      </c>
      <c r="L248" s="2">
        <f t="shared" si="127"/>
        <v>0.6020599913279624</v>
      </c>
      <c r="M248" s="2">
        <f t="shared" si="128"/>
        <v>1.4771212547196624</v>
      </c>
      <c r="N248" s="2">
        <v>1</v>
      </c>
      <c r="O248" s="12">
        <v>10.7</v>
      </c>
      <c r="P248" s="2">
        <v>1</v>
      </c>
      <c r="Q248" s="2" t="s">
        <v>318</v>
      </c>
      <c r="R248" s="9" t="s">
        <v>308</v>
      </c>
      <c r="S248" s="13"/>
      <c r="T248" s="8"/>
      <c r="U248" s="9"/>
      <c r="V248" s="2"/>
      <c r="W248" s="2"/>
      <c r="X248" s="9">
        <v>3.8</v>
      </c>
      <c r="Y248" s="9">
        <f>AVERAGE(97,41)</f>
        <v>69</v>
      </c>
      <c r="Z248" s="9"/>
      <c r="AA248" s="9">
        <f>Y248+Z248</f>
        <v>69</v>
      </c>
      <c r="AB248" s="9">
        <f>AVERAGE(0,52)</f>
        <v>26</v>
      </c>
      <c r="AC248" s="9"/>
      <c r="AD248" s="9">
        <f>AB248+AC248</f>
        <v>26</v>
      </c>
      <c r="AE248" s="9">
        <f>AA248+AD248</f>
        <v>95</v>
      </c>
      <c r="AF248" s="9">
        <v>1.2</v>
      </c>
      <c r="AG248" s="9"/>
      <c r="AH248" s="9"/>
      <c r="AI248" s="9"/>
      <c r="AJ248" s="9"/>
      <c r="AK248" s="9">
        <v>0</v>
      </c>
      <c r="AL248" s="9">
        <f>SUM(X248+AA248+AD248+AF248+AG248+AK248)</f>
        <v>100</v>
      </c>
      <c r="AM248" s="9" t="s">
        <v>460</v>
      </c>
      <c r="AN248" s="9" t="s">
        <v>612</v>
      </c>
      <c r="AO248" s="9"/>
      <c r="AP248" s="9"/>
      <c r="AQ248" s="9">
        <v>4</v>
      </c>
      <c r="AR248" s="9" t="s">
        <v>970</v>
      </c>
      <c r="AS248" s="9">
        <v>4</v>
      </c>
      <c r="AT248" s="9" t="s">
        <v>612</v>
      </c>
      <c r="AU248" s="9"/>
      <c r="AV248" s="9"/>
      <c r="AW248" s="9"/>
      <c r="AX248" s="9">
        <v>30</v>
      </c>
      <c r="AY248" s="9"/>
      <c r="AZ248" s="9" t="s">
        <v>612</v>
      </c>
      <c r="BA248" s="17"/>
      <c r="BB248" s="17"/>
      <c r="BC248" s="17"/>
      <c r="BD248" s="17"/>
      <c r="BE248" s="17"/>
      <c r="BF248" s="17"/>
      <c r="BG248" s="17"/>
    </row>
    <row r="249" spans="1:59">
      <c r="A249" s="2" t="s">
        <v>1380</v>
      </c>
      <c r="E249" s="2" t="s">
        <v>281</v>
      </c>
      <c r="F249" s="2">
        <v>0</v>
      </c>
      <c r="L249" s="2">
        <f t="shared" si="127"/>
        <v>0.77815125038364363</v>
      </c>
      <c r="M249" s="2">
        <f t="shared" si="128"/>
        <v>1.5440680443502757</v>
      </c>
      <c r="N249" s="2">
        <v>1</v>
      </c>
      <c r="O249" s="12"/>
      <c r="Q249" s="2"/>
      <c r="R249" s="9"/>
      <c r="S249" s="13"/>
      <c r="T249" s="8"/>
      <c r="U249" s="9"/>
      <c r="V249" s="2"/>
      <c r="W249" s="2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>
        <v>6</v>
      </c>
      <c r="AR249" s="9" t="s">
        <v>872</v>
      </c>
      <c r="AS249" s="9">
        <v>6</v>
      </c>
      <c r="AT249" s="9" t="s">
        <v>612</v>
      </c>
      <c r="AU249" s="9">
        <v>961</v>
      </c>
      <c r="AV249" s="9"/>
      <c r="AW249" s="9"/>
      <c r="AX249" s="9">
        <v>35</v>
      </c>
      <c r="AY249" s="9"/>
      <c r="AZ249" s="9" t="s">
        <v>612</v>
      </c>
      <c r="BA249" s="17"/>
      <c r="BB249" s="17"/>
      <c r="BC249" s="17"/>
      <c r="BD249" s="17"/>
      <c r="BE249" s="17"/>
      <c r="BF249" s="17"/>
      <c r="BG249" s="17"/>
    </row>
    <row r="250" spans="1:59">
      <c r="A250" s="2" t="s">
        <v>233</v>
      </c>
      <c r="B250" s="2" t="s">
        <v>233</v>
      </c>
      <c r="C250" s="2" t="s">
        <v>233</v>
      </c>
      <c r="E250" s="2" t="s">
        <v>281</v>
      </c>
      <c r="F250" s="2">
        <v>0</v>
      </c>
      <c r="G250" s="2">
        <f t="shared" ref="G250:G261" si="129">LOG(O250)</f>
        <v>1.0005099694875166</v>
      </c>
      <c r="H250" s="2">
        <f t="shared" si="102"/>
        <v>2.716003343634799</v>
      </c>
      <c r="I250" s="2">
        <f>LOG(X250)</f>
        <v>1.0413926851582251</v>
      </c>
      <c r="J250" s="2">
        <f>LOG(Y250)</f>
        <v>1.7634279935629373</v>
      </c>
      <c r="M250" s="2">
        <f t="shared" si="128"/>
        <v>1.5118833609788744</v>
      </c>
      <c r="N250" s="2">
        <v>1</v>
      </c>
      <c r="O250" s="12">
        <v>10.011749378391176</v>
      </c>
      <c r="P250" s="2">
        <v>2</v>
      </c>
      <c r="Q250" s="2" t="s">
        <v>318</v>
      </c>
      <c r="R250" s="9" t="s">
        <v>308</v>
      </c>
      <c r="S250" s="13">
        <v>520</v>
      </c>
      <c r="T250" s="8">
        <v>2</v>
      </c>
      <c r="U250" s="9" t="s">
        <v>316</v>
      </c>
      <c r="V250" s="9" t="s">
        <v>312</v>
      </c>
      <c r="W250" s="9" t="s">
        <v>311</v>
      </c>
      <c r="X250" s="9">
        <v>11</v>
      </c>
      <c r="Y250" s="9">
        <v>58</v>
      </c>
      <c r="Z250" s="9"/>
      <c r="AA250" s="9">
        <f>Y250+Z250</f>
        <v>58</v>
      </c>
      <c r="AB250" s="9">
        <v>15</v>
      </c>
      <c r="AC250" s="9"/>
      <c r="AD250" s="9">
        <f>AB250+AC250</f>
        <v>15</v>
      </c>
      <c r="AE250" s="9">
        <f t="shared" ref="AE250:AE255" si="130">AA250+AD250</f>
        <v>73</v>
      </c>
      <c r="AF250" s="9">
        <v>8</v>
      </c>
      <c r="AG250" s="9">
        <v>0</v>
      </c>
      <c r="AH250" s="9"/>
      <c r="AI250" s="9"/>
      <c r="AJ250" s="9">
        <f>AG250</f>
        <v>0</v>
      </c>
      <c r="AK250" s="9">
        <v>8</v>
      </c>
      <c r="AL250" s="9">
        <f>SUM(X250+AA250+AD250+AF250+AG250+AK250)</f>
        <v>100</v>
      </c>
      <c r="AM250" s="2" t="s">
        <v>517</v>
      </c>
      <c r="AN250" s="9" t="s">
        <v>664</v>
      </c>
      <c r="AO250" s="9"/>
      <c r="AP250" s="9"/>
      <c r="AQ250" s="9"/>
      <c r="AR250" s="9" t="s">
        <v>1005</v>
      </c>
      <c r="AT250" s="9" t="s">
        <v>1006</v>
      </c>
      <c r="AU250" s="9">
        <f>AVERAGE(1300,2300)</f>
        <v>1800</v>
      </c>
      <c r="AV250" s="9"/>
      <c r="AW250" s="9"/>
      <c r="AX250" s="9">
        <v>32.5</v>
      </c>
      <c r="AY250" s="9"/>
      <c r="AZ250" s="9" t="s">
        <v>1290</v>
      </c>
      <c r="BA250" s="17"/>
      <c r="BB250" s="17"/>
      <c r="BC250" s="17"/>
      <c r="BD250" s="17"/>
      <c r="BE250" s="17"/>
      <c r="BF250" s="17"/>
      <c r="BG250" s="17"/>
    </row>
    <row r="251" spans="1:59">
      <c r="A251" s="2" t="s">
        <v>234</v>
      </c>
      <c r="B251" s="2" t="s">
        <v>234</v>
      </c>
      <c r="C251" s="2" t="s">
        <v>234</v>
      </c>
      <c r="E251" s="2" t="s">
        <v>281</v>
      </c>
      <c r="F251" s="2">
        <v>0</v>
      </c>
      <c r="G251" s="2">
        <f t="shared" si="129"/>
        <v>0.98908022392168249</v>
      </c>
      <c r="H251" s="2">
        <f t="shared" si="102"/>
        <v>2.7157248604691793</v>
      </c>
      <c r="I251" s="2">
        <f>LOG(X251)</f>
        <v>1.1760912590556813</v>
      </c>
      <c r="L251" s="2">
        <f t="shared" ref="L251:L261" si="131">LOG(AS251)</f>
        <v>0.66745295288995399</v>
      </c>
      <c r="M251" s="2">
        <f t="shared" si="128"/>
        <v>1.2479732663618066</v>
      </c>
      <c r="N251" s="2">
        <v>1</v>
      </c>
      <c r="O251" s="12">
        <v>9.751697567847561</v>
      </c>
      <c r="P251" s="2">
        <v>14</v>
      </c>
      <c r="Q251" s="2" t="s">
        <v>316</v>
      </c>
      <c r="R251" s="9" t="s">
        <v>308</v>
      </c>
      <c r="S251" s="13">
        <v>519.66666666666663</v>
      </c>
      <c r="T251" s="8">
        <v>3</v>
      </c>
      <c r="U251" s="9" t="s">
        <v>316</v>
      </c>
      <c r="V251" s="9" t="s">
        <v>312</v>
      </c>
      <c r="W251" s="2" t="s">
        <v>311</v>
      </c>
      <c r="X251" s="2">
        <v>15</v>
      </c>
      <c r="AA251" s="2">
        <v>82</v>
      </c>
      <c r="AC251" s="2">
        <v>1</v>
      </c>
      <c r="AD251" s="2">
        <v>1</v>
      </c>
      <c r="AE251" s="2">
        <f t="shared" si="130"/>
        <v>83</v>
      </c>
      <c r="AG251" s="2">
        <v>0</v>
      </c>
      <c r="AJ251" s="9">
        <f>AG251</f>
        <v>0</v>
      </c>
      <c r="AK251" s="2">
        <v>2</v>
      </c>
      <c r="AL251" s="2">
        <f>X251+AA251+AC251+AK251</f>
        <v>100</v>
      </c>
      <c r="AM251" s="2" t="s">
        <v>517</v>
      </c>
      <c r="AN251" s="2" t="s">
        <v>665</v>
      </c>
      <c r="AQ251" s="2">
        <f>AVERAGE(4.6,4.7)</f>
        <v>4.6500000000000004</v>
      </c>
      <c r="AR251" s="2" t="s">
        <v>1007</v>
      </c>
      <c r="AS251" s="2">
        <v>4.6500000000000004</v>
      </c>
      <c r="AT251" s="2" t="s">
        <v>1008</v>
      </c>
      <c r="AU251" s="2">
        <f>AVERAGE(783,2387)</f>
        <v>1585</v>
      </c>
      <c r="AX251" s="2">
        <v>17.7</v>
      </c>
      <c r="AZ251" s="2" t="s">
        <v>1291</v>
      </c>
      <c r="BA251" s="16"/>
      <c r="BB251" s="16"/>
      <c r="BC251" s="16"/>
      <c r="BD251" s="16"/>
      <c r="BE251" s="16"/>
      <c r="BF251" s="16"/>
      <c r="BG251" s="16"/>
    </row>
    <row r="252" spans="1:59">
      <c r="A252" s="2" t="s">
        <v>235</v>
      </c>
      <c r="B252" s="2" t="s">
        <v>235</v>
      </c>
      <c r="C252" s="2" t="s">
        <v>235</v>
      </c>
      <c r="E252" s="2" t="s">
        <v>281</v>
      </c>
      <c r="F252" s="2">
        <v>0</v>
      </c>
      <c r="G252" s="2">
        <f t="shared" si="129"/>
        <v>0.99169416037090186</v>
      </c>
      <c r="H252" s="2">
        <f t="shared" si="102"/>
        <v>2.7283537820212285</v>
      </c>
      <c r="I252" s="2">
        <f>LOG(X252)</f>
        <v>1.5585085730707764</v>
      </c>
      <c r="J252" s="2">
        <f>LOG(Y252)</f>
        <v>1.7489628612561614</v>
      </c>
      <c r="L252" s="2">
        <f t="shared" si="131"/>
        <v>0.77378644498119353</v>
      </c>
      <c r="M252" s="2">
        <f t="shared" si="128"/>
        <v>1.5658478186735176</v>
      </c>
      <c r="N252" s="2">
        <v>1</v>
      </c>
      <c r="O252" s="12">
        <v>9.8105681812622407</v>
      </c>
      <c r="P252" s="2">
        <v>25</v>
      </c>
      <c r="Q252" s="2" t="s">
        <v>316</v>
      </c>
      <c r="R252" s="9" t="s">
        <v>308</v>
      </c>
      <c r="S252" s="13">
        <v>535</v>
      </c>
      <c r="T252" s="8">
        <v>13</v>
      </c>
      <c r="U252" s="9" t="s">
        <v>316</v>
      </c>
      <c r="V252" s="2" t="s">
        <v>306</v>
      </c>
      <c r="W252" s="18" t="s">
        <v>381</v>
      </c>
      <c r="X252" s="9">
        <f>AVERAGE(31.25,50.2,31)-1.3</f>
        <v>36.183333333333337</v>
      </c>
      <c r="Y252" s="9">
        <f>AVERAGE(47.1,64,61.1)-1.3</f>
        <v>56.1</v>
      </c>
      <c r="Z252" s="9"/>
      <c r="AA252" s="9">
        <f>Y252</f>
        <v>56.1</v>
      </c>
      <c r="AB252" s="9"/>
      <c r="AC252" s="9">
        <f>7.7</f>
        <v>7.7</v>
      </c>
      <c r="AD252" s="2">
        <f>AB252+AC252</f>
        <v>7.7</v>
      </c>
      <c r="AE252" s="9">
        <f t="shared" si="130"/>
        <v>63.800000000000004</v>
      </c>
      <c r="AF252" s="9">
        <v>0</v>
      </c>
      <c r="AG252" s="9">
        <v>0</v>
      </c>
      <c r="AH252" s="9"/>
      <c r="AI252" s="9"/>
      <c r="AJ252" s="9"/>
      <c r="AK252" s="9">
        <v>0</v>
      </c>
      <c r="AL252" s="9">
        <f>SUM(X252+AA252+AD252+AF252+AG252+AK252)</f>
        <v>99.983333333333334</v>
      </c>
      <c r="AM252" s="9" t="s">
        <v>489</v>
      </c>
      <c r="AN252" s="9" t="s">
        <v>666</v>
      </c>
      <c r="AO252" s="9"/>
      <c r="AP252" s="9"/>
      <c r="AQ252" s="9">
        <f>AVERAGE(6,5,5.7,5,8)</f>
        <v>5.9399999999999995</v>
      </c>
      <c r="AR252" s="9" t="s">
        <v>1009</v>
      </c>
      <c r="AS252" s="9">
        <v>5.9399999999999995</v>
      </c>
      <c r="AT252" s="9" t="s">
        <v>1010</v>
      </c>
      <c r="AU252" s="9" t="s">
        <v>1292</v>
      </c>
      <c r="AV252" s="9"/>
      <c r="AW252" s="9"/>
      <c r="AX252" s="9">
        <v>36.799999999999997</v>
      </c>
      <c r="AY252" s="9" t="s">
        <v>1293</v>
      </c>
      <c r="AZ252" s="9" t="s">
        <v>504</v>
      </c>
      <c r="BA252" s="17"/>
      <c r="BB252" s="17"/>
      <c r="BC252" s="17"/>
      <c r="BD252" s="17"/>
      <c r="BE252" s="17"/>
      <c r="BF252" s="17"/>
      <c r="BG252" s="17"/>
    </row>
    <row r="253" spans="1:59">
      <c r="A253" s="2" t="s">
        <v>236</v>
      </c>
      <c r="B253" s="2" t="s">
        <v>236</v>
      </c>
      <c r="C253" s="2" t="s">
        <v>236</v>
      </c>
      <c r="E253" s="2" t="s">
        <v>281</v>
      </c>
      <c r="F253" s="2">
        <v>0</v>
      </c>
      <c r="G253" s="2">
        <f t="shared" si="129"/>
        <v>1.0177501913574964</v>
      </c>
      <c r="H253" s="2">
        <f t="shared" si="102"/>
        <v>2.7637086966742306</v>
      </c>
      <c r="I253" s="2">
        <f>LOG(X253)</f>
        <v>1.5755726872053055</v>
      </c>
      <c r="J253" s="2">
        <f>LOG(Y253)</f>
        <v>1.725094521081469</v>
      </c>
      <c r="K253" s="2">
        <f>LOG(AG253)</f>
        <v>-1.3979400086720375</v>
      </c>
      <c r="L253" s="2">
        <f t="shared" si="131"/>
        <v>0.87583265699042523</v>
      </c>
      <c r="M253" s="2">
        <f t="shared" si="128"/>
        <v>1.8628977064086722</v>
      </c>
      <c r="N253" s="2">
        <v>1</v>
      </c>
      <c r="O253" s="12">
        <v>10.417180549105479</v>
      </c>
      <c r="P253" s="2">
        <v>24</v>
      </c>
      <c r="Q253" s="2" t="s">
        <v>316</v>
      </c>
      <c r="R253" s="9" t="s">
        <v>308</v>
      </c>
      <c r="S253" s="13">
        <v>580.375</v>
      </c>
      <c r="T253" s="8">
        <v>8</v>
      </c>
      <c r="U253" s="9" t="s">
        <v>316</v>
      </c>
      <c r="V253" s="9" t="s">
        <v>312</v>
      </c>
      <c r="W253" s="2" t="s">
        <v>311</v>
      </c>
      <c r="X253" s="2">
        <f>AVERAGE(44.4,56.1,12.4)</f>
        <v>37.633333333333333</v>
      </c>
      <c r="Y253" s="2">
        <f>AVERAGE(47.2,41.5,70.6)</f>
        <v>53.1</v>
      </c>
      <c r="AA253" s="2">
        <f>Y253+Z253</f>
        <v>53.1</v>
      </c>
      <c r="AB253" s="2">
        <f>AVERAGE(1.1,6,0)</f>
        <v>2.3666666666666667</v>
      </c>
      <c r="AC253" s="2">
        <f>AVERAGE(6.2,0,0)</f>
        <v>2.0666666666666669</v>
      </c>
      <c r="AD253" s="2">
        <f>AB253+AC253</f>
        <v>4.4333333333333336</v>
      </c>
      <c r="AE253" s="2">
        <f t="shared" si="130"/>
        <v>57.533333333333331</v>
      </c>
      <c r="AF253" s="2">
        <f>AVERAGE(2.2,1.2,10.4)</f>
        <v>4.6000000000000005</v>
      </c>
      <c r="AG253" s="2">
        <v>0.04</v>
      </c>
      <c r="AH253" s="2">
        <v>0.04</v>
      </c>
      <c r="AI253" s="2">
        <v>0</v>
      </c>
      <c r="AJ253" s="2">
        <f>AG253</f>
        <v>0.04</v>
      </c>
      <c r="AK253" s="2">
        <v>0.2</v>
      </c>
      <c r="AL253" s="9">
        <f>SUM(X253+AE253+AF253+AG253+AK253)</f>
        <v>100.00666666666666</v>
      </c>
      <c r="AM253" s="9" t="s">
        <v>489</v>
      </c>
      <c r="AN253" s="9" t="s">
        <v>667</v>
      </c>
      <c r="AO253" s="2" t="s">
        <v>1011</v>
      </c>
      <c r="AQ253" s="2">
        <f>AVERAGE(5.06,8.6,8.88)</f>
        <v>7.5133333333333328</v>
      </c>
      <c r="AR253" s="2" t="s">
        <v>1012</v>
      </c>
      <c r="AS253" s="2">
        <v>7.5133333333333328</v>
      </c>
      <c r="AT253" s="9" t="s">
        <v>1013</v>
      </c>
      <c r="AU253" s="9">
        <f>AVERAGE(1247,1248,1991,2733,1987)</f>
        <v>1841.2</v>
      </c>
      <c r="AX253" s="2">
        <v>72.928571428571431</v>
      </c>
      <c r="AY253" s="2" t="s">
        <v>1294</v>
      </c>
      <c r="AZ253" s="9" t="s">
        <v>1295</v>
      </c>
      <c r="BA253" s="16"/>
      <c r="BB253" s="16"/>
      <c r="BC253" s="16"/>
      <c r="BD253" s="16"/>
      <c r="BE253" s="16"/>
      <c r="BF253" s="16"/>
      <c r="BG253" s="16"/>
    </row>
    <row r="254" spans="1:59">
      <c r="A254" s="2" t="s">
        <v>1368</v>
      </c>
      <c r="B254" s="2" t="s">
        <v>237</v>
      </c>
      <c r="C254" s="2" t="s">
        <v>237</v>
      </c>
      <c r="E254" s="2" t="s">
        <v>281</v>
      </c>
      <c r="F254" s="2">
        <v>0</v>
      </c>
      <c r="G254" s="2">
        <f t="shared" si="129"/>
        <v>0.98525185243280167</v>
      </c>
      <c r="H254" s="2">
        <f t="shared" si="102"/>
        <v>2.7197454925295768</v>
      </c>
      <c r="I254" s="2">
        <f>LOG(X254)</f>
        <v>1.0934216851622351</v>
      </c>
      <c r="J254" s="2">
        <f>LOG(Y254)</f>
        <v>1.8488047010518038</v>
      </c>
      <c r="K254" s="2">
        <f>LOG(AG254)</f>
        <v>-1.3979400086720375</v>
      </c>
      <c r="L254" s="2">
        <f t="shared" si="131"/>
        <v>0.93951925261861846</v>
      </c>
      <c r="M254" s="2">
        <f t="shared" si="128"/>
        <v>2.0785776399992391</v>
      </c>
      <c r="N254" s="2">
        <v>1</v>
      </c>
      <c r="O254" s="12">
        <v>9.6661126562785178</v>
      </c>
      <c r="P254" s="2">
        <v>4</v>
      </c>
      <c r="Q254" s="2" t="s">
        <v>318</v>
      </c>
      <c r="R254" s="9" t="s">
        <v>308</v>
      </c>
      <c r="S254" s="13">
        <v>524.5</v>
      </c>
      <c r="T254" s="8">
        <v>324</v>
      </c>
      <c r="U254" s="9" t="s">
        <v>316</v>
      </c>
      <c r="V254" s="2" t="s">
        <v>307</v>
      </c>
      <c r="W254" s="9"/>
      <c r="X254" s="2">
        <v>12.4</v>
      </c>
      <c r="Y254" s="9">
        <v>70.599999999999994</v>
      </c>
      <c r="Z254" s="9"/>
      <c r="AA254" s="2">
        <f>Y254+Z254</f>
        <v>70.599999999999994</v>
      </c>
      <c r="AB254" s="9">
        <v>6.2</v>
      </c>
      <c r="AC254" s="9"/>
      <c r="AD254" s="2">
        <f>AB254+AC254</f>
        <v>6.2</v>
      </c>
      <c r="AE254" s="2">
        <f t="shared" si="130"/>
        <v>76.8</v>
      </c>
      <c r="AF254" s="9">
        <v>10.4</v>
      </c>
      <c r="AG254" s="12">
        <v>0.04</v>
      </c>
      <c r="AH254" s="12">
        <v>0.04</v>
      </c>
      <c r="AI254" s="9"/>
      <c r="AJ254" s="2">
        <f>AG254</f>
        <v>0.04</v>
      </c>
      <c r="AK254" s="9">
        <v>0.4</v>
      </c>
      <c r="AL254" s="9">
        <f>SUM(X254+AE254+AF254+AG254+AK254)</f>
        <v>100.04000000000002</v>
      </c>
      <c r="AM254" s="9" t="s">
        <v>517</v>
      </c>
      <c r="AN254" s="9" t="s">
        <v>668</v>
      </c>
      <c r="AO254" s="9"/>
      <c r="AP254" s="9"/>
      <c r="AQ254" s="9">
        <f>AVERAGE(8.8,8.6)</f>
        <v>8.6999999999999993</v>
      </c>
      <c r="AR254" s="9"/>
      <c r="AS254" s="9">
        <v>8.6999999999999993</v>
      </c>
      <c r="AT254" s="9" t="s">
        <v>668</v>
      </c>
      <c r="AU254" s="9">
        <v>1991</v>
      </c>
      <c r="AV254" s="9"/>
      <c r="AW254" s="9"/>
      <c r="AX254" s="9">
        <v>119.83333333333333</v>
      </c>
      <c r="AY254" s="9" t="s">
        <v>1296</v>
      </c>
      <c r="AZ254" s="9" t="s">
        <v>668</v>
      </c>
      <c r="BA254" s="17"/>
      <c r="BB254" s="17"/>
      <c r="BC254" s="17"/>
      <c r="BD254" s="17"/>
      <c r="BE254" s="17"/>
      <c r="BF254" s="16"/>
      <c r="BG254" s="17"/>
    </row>
    <row r="255" spans="1:59">
      <c r="A255" s="2" t="s">
        <v>238</v>
      </c>
      <c r="B255" s="2" t="s">
        <v>238</v>
      </c>
      <c r="C255" s="2" t="s">
        <v>238</v>
      </c>
      <c r="E255" s="2" t="s">
        <v>281</v>
      </c>
      <c r="F255" s="2">
        <v>0</v>
      </c>
      <c r="G255" s="2">
        <f t="shared" si="129"/>
        <v>0.96059556342492947</v>
      </c>
      <c r="H255" s="2">
        <f t="shared" si="102"/>
        <v>2.5740312677277188</v>
      </c>
      <c r="I255" s="2">
        <f>LOG(X255)</f>
        <v>1.1893967258352185</v>
      </c>
      <c r="J255" s="2">
        <f>LOG(Y255)</f>
        <v>1.7704838094311079</v>
      </c>
      <c r="L255" s="2">
        <f t="shared" si="131"/>
        <v>0.77815125038364363</v>
      </c>
      <c r="M255" s="2">
        <f t="shared" si="128"/>
        <v>1.9800033715837464</v>
      </c>
      <c r="N255" s="2">
        <v>1</v>
      </c>
      <c r="O255" s="12">
        <v>9.1326237010174705</v>
      </c>
      <c r="P255" s="2">
        <v>10</v>
      </c>
      <c r="Q255" s="2" t="s">
        <v>316</v>
      </c>
      <c r="R255" s="9" t="s">
        <v>308</v>
      </c>
      <c r="S255" s="8">
        <v>375</v>
      </c>
      <c r="T255" s="10">
        <v>3</v>
      </c>
      <c r="U255" s="9" t="s">
        <v>316</v>
      </c>
      <c r="V255" s="2" t="s">
        <v>310</v>
      </c>
      <c r="W255" s="2" t="s">
        <v>311</v>
      </c>
      <c r="X255" s="2">
        <f>AVERAGE(7,9.4,45)-5</f>
        <v>15.466666666666665</v>
      </c>
      <c r="Y255" s="2">
        <f>AVERAGE(87.5,40.4)-5</f>
        <v>58.95</v>
      </c>
      <c r="Z255" s="2">
        <v>0</v>
      </c>
      <c r="AA255" s="2">
        <f>Y255+Z255</f>
        <v>58.95</v>
      </c>
      <c r="AB255" s="2">
        <f>AVERAGE(28.3,0)</f>
        <v>14.15</v>
      </c>
      <c r="AD255" s="2">
        <f>AB255+AC255</f>
        <v>14.15</v>
      </c>
      <c r="AE255" s="2">
        <f t="shared" si="130"/>
        <v>73.100000000000009</v>
      </c>
      <c r="AF255" s="2">
        <f>AVERAGE(13.5,3.1,17.8)</f>
        <v>11.466666666666669</v>
      </c>
      <c r="AG255" s="2">
        <v>0</v>
      </c>
      <c r="AH255" s="2">
        <v>0</v>
      </c>
      <c r="AI255" s="2">
        <v>0</v>
      </c>
      <c r="AJ255" s="2">
        <f>AG255</f>
        <v>0</v>
      </c>
      <c r="AK255" s="2">
        <v>0</v>
      </c>
      <c r="AL255" s="9">
        <f>SUM(X255+AA255+AD255+AF255+AG255+AK255)</f>
        <v>100.03333333333335</v>
      </c>
      <c r="AM255" s="9" t="s">
        <v>489</v>
      </c>
      <c r="AN255" s="9" t="s">
        <v>669</v>
      </c>
      <c r="AQ255" s="2">
        <v>6</v>
      </c>
      <c r="AR255" s="2" t="s">
        <v>726</v>
      </c>
      <c r="AS255" s="2">
        <v>6</v>
      </c>
      <c r="AT255" s="9" t="s">
        <v>504</v>
      </c>
      <c r="AU255" s="9">
        <v>1109</v>
      </c>
      <c r="AX255" s="2">
        <v>95.5</v>
      </c>
      <c r="AY255" s="2" t="s">
        <v>1297</v>
      </c>
      <c r="AZ255" s="9" t="s">
        <v>1298</v>
      </c>
      <c r="BA255" s="16"/>
      <c r="BB255" s="16"/>
      <c r="BC255" s="16"/>
      <c r="BD255" s="16"/>
      <c r="BE255" s="16"/>
      <c r="BF255" s="16"/>
      <c r="BG255" s="16"/>
    </row>
    <row r="256" spans="1:59">
      <c r="A256" s="2" t="s">
        <v>239</v>
      </c>
      <c r="B256" s="2" t="s">
        <v>239</v>
      </c>
      <c r="C256" s="2" t="s">
        <v>239</v>
      </c>
      <c r="E256" s="2" t="s">
        <v>281</v>
      </c>
      <c r="F256" s="2">
        <v>0</v>
      </c>
      <c r="G256" s="2">
        <f t="shared" si="129"/>
        <v>0.9493900066449128</v>
      </c>
      <c r="H256" s="2">
        <f t="shared" si="102"/>
        <v>2.6776069527204931</v>
      </c>
      <c r="L256" s="2">
        <f t="shared" si="131"/>
        <v>0.81291335664285558</v>
      </c>
      <c r="M256" s="2">
        <f t="shared" si="128"/>
        <v>1.652971172017589</v>
      </c>
      <c r="N256" s="2">
        <v>1</v>
      </c>
      <c r="O256" s="7">
        <v>8.9</v>
      </c>
      <c r="P256" s="8"/>
      <c r="Q256" s="21" t="s">
        <v>371</v>
      </c>
      <c r="R256" s="9" t="s">
        <v>306</v>
      </c>
      <c r="S256" s="13">
        <v>476</v>
      </c>
      <c r="T256" s="8">
        <v>14</v>
      </c>
      <c r="U256" s="9" t="s">
        <v>316</v>
      </c>
      <c r="V256" s="2" t="s">
        <v>306</v>
      </c>
      <c r="W256" s="2"/>
      <c r="AN256" s="2" t="s">
        <v>670</v>
      </c>
      <c r="AQ256" s="2">
        <f>AVERAGE(6.3,7,6.2)</f>
        <v>6.5</v>
      </c>
      <c r="AR256" s="2" t="s">
        <v>973</v>
      </c>
      <c r="AS256" s="2">
        <v>6.5</v>
      </c>
      <c r="AT256" s="9" t="s">
        <v>718</v>
      </c>
      <c r="AU256" s="9">
        <v>1000</v>
      </c>
      <c r="AX256" s="2">
        <v>44.975000000000001</v>
      </c>
      <c r="AY256" s="2" t="s">
        <v>1299</v>
      </c>
      <c r="AZ256" s="2" t="s">
        <v>1300</v>
      </c>
      <c r="BA256" s="16"/>
      <c r="BB256" s="16"/>
      <c r="BC256" s="16"/>
      <c r="BD256" s="16"/>
      <c r="BE256" s="16"/>
      <c r="BF256" s="16"/>
      <c r="BG256" s="16"/>
    </row>
    <row r="257" spans="1:59">
      <c r="A257" s="2" t="s">
        <v>240</v>
      </c>
      <c r="B257" s="2" t="s">
        <v>240</v>
      </c>
      <c r="C257" s="2" t="s">
        <v>240</v>
      </c>
      <c r="E257" s="2" t="s">
        <v>281</v>
      </c>
      <c r="F257" s="2">
        <v>0</v>
      </c>
      <c r="G257" s="2">
        <f t="shared" si="129"/>
        <v>0.98667838404740149</v>
      </c>
      <c r="H257" s="2">
        <f t="shared" si="102"/>
        <v>2.6305108942810764</v>
      </c>
      <c r="L257" s="2">
        <f t="shared" si="131"/>
        <v>0.76342799356293722</v>
      </c>
      <c r="M257" s="2">
        <f t="shared" si="128"/>
        <v>1.1430148002540952</v>
      </c>
      <c r="N257" s="2">
        <v>1</v>
      </c>
      <c r="O257" s="12">
        <v>9.697915239887644</v>
      </c>
      <c r="P257" s="2">
        <v>55</v>
      </c>
      <c r="Q257" s="2" t="s">
        <v>316</v>
      </c>
      <c r="R257" s="9" t="s">
        <v>308</v>
      </c>
      <c r="S257" s="13">
        <v>427.08163265306121</v>
      </c>
      <c r="T257" s="8">
        <v>49</v>
      </c>
      <c r="U257" s="9" t="s">
        <v>316</v>
      </c>
      <c r="V257" s="9" t="s">
        <v>312</v>
      </c>
      <c r="W257" s="2" t="s">
        <v>311</v>
      </c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>
        <v>5.8</v>
      </c>
      <c r="AR257" s="9" t="s">
        <v>820</v>
      </c>
      <c r="AS257" s="9">
        <v>5.8</v>
      </c>
      <c r="AT257" s="9" t="s">
        <v>1014</v>
      </c>
      <c r="AU257" s="9">
        <v>1700</v>
      </c>
      <c r="AV257" s="9"/>
      <c r="AW257" s="9"/>
      <c r="AX257" s="9">
        <v>13.9</v>
      </c>
      <c r="AY257" s="9" t="s">
        <v>1301</v>
      </c>
      <c r="AZ257" s="9" t="s">
        <v>1302</v>
      </c>
      <c r="BA257" s="17"/>
      <c r="BB257" s="17"/>
      <c r="BC257" s="17"/>
      <c r="BD257" s="17"/>
      <c r="BE257" s="17"/>
      <c r="BF257" s="17"/>
      <c r="BG257" s="17"/>
    </row>
    <row r="258" spans="1:59">
      <c r="A258" s="2" t="s">
        <v>241</v>
      </c>
      <c r="B258" s="2" t="s">
        <v>241</v>
      </c>
      <c r="C258" s="2" t="s">
        <v>241</v>
      </c>
      <c r="E258" s="2" t="s">
        <v>281</v>
      </c>
      <c r="F258" s="2">
        <v>0</v>
      </c>
      <c r="G258" s="2">
        <f t="shared" si="129"/>
        <v>0.92941892571429274</v>
      </c>
      <c r="I258" s="2">
        <f>LOG(X258)</f>
        <v>1.3222192947339193</v>
      </c>
      <c r="J258" s="2">
        <f>LOG(Y258)</f>
        <v>1.7923916894982539</v>
      </c>
      <c r="L258" s="2">
        <f t="shared" si="131"/>
        <v>0.79934054945358168</v>
      </c>
      <c r="N258" s="2">
        <v>1</v>
      </c>
      <c r="O258" s="12">
        <v>8.5</v>
      </c>
      <c r="P258" s="2">
        <v>1</v>
      </c>
      <c r="Q258" s="2" t="s">
        <v>318</v>
      </c>
      <c r="R258" s="9" t="s">
        <v>308</v>
      </c>
      <c r="S258" s="10"/>
      <c r="T258" s="10"/>
      <c r="U258" s="2"/>
      <c r="V258" s="2"/>
      <c r="W258" s="2"/>
      <c r="X258" s="2">
        <v>21</v>
      </c>
      <c r="Y258" s="2">
        <v>62</v>
      </c>
      <c r="AA258" s="9">
        <f>Y258+Z258</f>
        <v>62</v>
      </c>
      <c r="AB258" s="2">
        <v>1</v>
      </c>
      <c r="AD258" s="2">
        <f>AB258+AC258</f>
        <v>1</v>
      </c>
      <c r="AE258" s="9">
        <f>AA258+AD258</f>
        <v>63</v>
      </c>
      <c r="AF258" s="2">
        <v>12</v>
      </c>
      <c r="AG258" s="2">
        <v>0</v>
      </c>
      <c r="AJ258" s="2">
        <f>AG258</f>
        <v>0</v>
      </c>
      <c r="AK258" s="2">
        <v>4</v>
      </c>
      <c r="AL258" s="9">
        <f>SUM(X258+AA258+AD258+AF258+AG258+AK258)</f>
        <v>100</v>
      </c>
      <c r="AN258" s="2" t="s">
        <v>671</v>
      </c>
      <c r="AQ258" s="2">
        <v>6.3</v>
      </c>
      <c r="AR258" s="2" t="s">
        <v>1015</v>
      </c>
      <c r="AS258" s="2">
        <v>6.3</v>
      </c>
      <c r="AT258" s="2" t="s">
        <v>612</v>
      </c>
      <c r="BA258" s="16"/>
      <c r="BB258" s="16"/>
      <c r="BC258" s="16"/>
      <c r="BD258" s="16"/>
      <c r="BE258" s="16"/>
      <c r="BF258" s="16"/>
      <c r="BG258" s="16"/>
    </row>
    <row r="259" spans="1:59">
      <c r="A259" s="2" t="s">
        <v>242</v>
      </c>
      <c r="B259" s="2" t="s">
        <v>242</v>
      </c>
      <c r="C259" s="2" t="s">
        <v>242</v>
      </c>
      <c r="E259" s="2" t="s">
        <v>284</v>
      </c>
      <c r="F259" s="2">
        <v>0</v>
      </c>
      <c r="G259" s="2">
        <f t="shared" si="129"/>
        <v>1.3328871112797858</v>
      </c>
      <c r="H259" s="2">
        <f t="shared" ref="H259:H290" si="132">LOG(S259)</f>
        <v>2.8750612633917001</v>
      </c>
      <c r="L259" s="2">
        <f t="shared" si="131"/>
        <v>1.7323937598229686</v>
      </c>
      <c r="M259" s="2">
        <f>LOG(AX259)</f>
        <v>2.5740312677277188</v>
      </c>
      <c r="N259" s="2">
        <v>1</v>
      </c>
      <c r="O259" s="12">
        <v>21.522222222222219</v>
      </c>
      <c r="P259" s="2">
        <v>27</v>
      </c>
      <c r="Q259" s="9" t="s">
        <v>305</v>
      </c>
      <c r="R259" s="9" t="s">
        <v>308</v>
      </c>
      <c r="S259" s="13">
        <v>750</v>
      </c>
      <c r="T259" s="8">
        <v>13</v>
      </c>
      <c r="U259" s="9" t="s">
        <v>305</v>
      </c>
      <c r="V259" s="2" t="s">
        <v>306</v>
      </c>
      <c r="W259" s="18" t="s">
        <v>433</v>
      </c>
      <c r="X259" s="9"/>
      <c r="Z259" s="9"/>
      <c r="AA259" s="9"/>
      <c r="AB259" s="9"/>
      <c r="AC259" s="9"/>
      <c r="AE259" s="9"/>
      <c r="AF259" s="9"/>
      <c r="AG259" s="9"/>
      <c r="AH259" s="9"/>
      <c r="AI259" s="9"/>
      <c r="AK259" s="9"/>
      <c r="AL259" s="9"/>
      <c r="AM259" s="9" t="s">
        <v>460</v>
      </c>
      <c r="AN259" s="9" t="s">
        <v>672</v>
      </c>
      <c r="AO259" s="9"/>
      <c r="AP259" s="9"/>
      <c r="AQ259" s="9">
        <v>54</v>
      </c>
      <c r="AR259" s="9" t="s">
        <v>1016</v>
      </c>
      <c r="AS259" s="9">
        <v>54</v>
      </c>
      <c r="AT259" s="9" t="s">
        <v>761</v>
      </c>
      <c r="AU259" s="9"/>
      <c r="AV259" s="9"/>
      <c r="AW259" s="9"/>
      <c r="AX259" s="2">
        <v>375</v>
      </c>
      <c r="AY259" s="9" t="s">
        <v>1303</v>
      </c>
      <c r="AZ259" s="9" t="s">
        <v>1304</v>
      </c>
      <c r="BA259" s="17"/>
      <c r="BB259" s="17"/>
      <c r="BC259" s="17"/>
      <c r="BD259" s="17"/>
      <c r="BE259" s="17"/>
      <c r="BF259" s="17"/>
      <c r="BG259" s="17"/>
    </row>
    <row r="260" spans="1:59">
      <c r="A260" s="2" t="s">
        <v>243</v>
      </c>
      <c r="B260" s="2" t="s">
        <v>243</v>
      </c>
      <c r="C260" s="2" t="s">
        <v>243</v>
      </c>
      <c r="E260" s="2" t="s">
        <v>284</v>
      </c>
      <c r="F260" s="2">
        <v>0</v>
      </c>
      <c r="G260" s="2">
        <f t="shared" si="129"/>
        <v>1.3844673947591482</v>
      </c>
      <c r="H260" s="2">
        <f t="shared" si="132"/>
        <v>2.8325089127062362</v>
      </c>
      <c r="L260" s="2">
        <f t="shared" si="131"/>
        <v>1.6127838567197355</v>
      </c>
      <c r="M260" s="2">
        <f>LOG(AX260)</f>
        <v>2.4586378490256493</v>
      </c>
      <c r="N260" s="2">
        <v>1</v>
      </c>
      <c r="O260" s="12">
        <v>24.236360000000001</v>
      </c>
      <c r="P260" s="2">
        <v>9</v>
      </c>
      <c r="Q260" s="9" t="s">
        <v>305</v>
      </c>
      <c r="R260" s="9" t="s">
        <v>308</v>
      </c>
      <c r="S260" s="13">
        <v>680</v>
      </c>
      <c r="T260" s="8">
        <v>7</v>
      </c>
      <c r="U260" s="9" t="s">
        <v>305</v>
      </c>
      <c r="V260" s="2" t="s">
        <v>306</v>
      </c>
      <c r="W260" s="2" t="s">
        <v>434</v>
      </c>
      <c r="AL260" s="9"/>
      <c r="AQ260" s="9">
        <v>41</v>
      </c>
      <c r="AR260" s="2" t="s">
        <v>1017</v>
      </c>
      <c r="AS260" s="9">
        <v>41</v>
      </c>
      <c r="AT260" s="9" t="s">
        <v>1018</v>
      </c>
      <c r="AU260" s="9"/>
      <c r="AX260" s="2">
        <v>287.5</v>
      </c>
      <c r="AY260" s="2" t="s">
        <v>1305</v>
      </c>
      <c r="AZ260" s="9" t="s">
        <v>718</v>
      </c>
      <c r="BA260" s="16"/>
      <c r="BB260" s="16"/>
      <c r="BC260" s="16"/>
      <c r="BD260" s="16"/>
      <c r="BE260" s="16"/>
      <c r="BF260" s="16"/>
      <c r="BG260" s="16"/>
    </row>
    <row r="261" spans="1:59">
      <c r="A261" s="2" t="s">
        <v>244</v>
      </c>
      <c r="B261" s="2" t="s">
        <v>244</v>
      </c>
      <c r="C261" s="2" t="s">
        <v>244</v>
      </c>
      <c r="E261" s="2" t="s">
        <v>284</v>
      </c>
      <c r="F261" s="2">
        <v>0</v>
      </c>
      <c r="G261" s="2">
        <f t="shared" si="129"/>
        <v>1.3714957952109643</v>
      </c>
      <c r="H261" s="2">
        <f t="shared" si="132"/>
        <v>2.9142386542132104</v>
      </c>
      <c r="I261" s="2">
        <f>LOG(X261)</f>
        <v>1.7892280572673351</v>
      </c>
      <c r="J261" s="2">
        <f>LOG(Y261)</f>
        <v>1.4913616938342726</v>
      </c>
      <c r="L261" s="2">
        <f t="shared" si="131"/>
        <v>1.3617278360175928</v>
      </c>
      <c r="M261" s="2">
        <f>LOG(AX261)</f>
        <v>1.9890046156985368</v>
      </c>
      <c r="N261" s="2">
        <v>1</v>
      </c>
      <c r="O261" s="9">
        <v>23.523167184197955</v>
      </c>
      <c r="P261" s="14">
        <v>48</v>
      </c>
      <c r="Q261" s="9" t="s">
        <v>305</v>
      </c>
      <c r="R261" s="9" t="s">
        <v>308</v>
      </c>
      <c r="S261" s="13">
        <v>820.80246913580243</v>
      </c>
      <c r="T261" s="8">
        <v>81</v>
      </c>
      <c r="U261" s="9" t="s">
        <v>316</v>
      </c>
      <c r="V261" s="9" t="s">
        <v>312</v>
      </c>
      <c r="W261" s="9" t="s">
        <v>311</v>
      </c>
      <c r="X261" s="9">
        <f>AVERAGE(44.9,72)+3.1</f>
        <v>61.550000000000004</v>
      </c>
      <c r="Y261" s="9">
        <f>AVERAGE(28)+3</f>
        <v>31</v>
      </c>
      <c r="Z261" s="9"/>
      <c r="AA261" s="9">
        <f>Y261+Z261</f>
        <v>31</v>
      </c>
      <c r="AB261" s="9"/>
      <c r="AC261" s="9">
        <v>7.4</v>
      </c>
      <c r="AD261" s="9">
        <f>AB261+AC261</f>
        <v>7.4</v>
      </c>
      <c r="AE261" s="9">
        <f>AD261+AA261</f>
        <v>38.4</v>
      </c>
      <c r="AF261" s="9"/>
      <c r="AG261" s="9">
        <v>0</v>
      </c>
      <c r="AH261" s="9"/>
      <c r="AI261" s="9"/>
      <c r="AJ261" s="9">
        <v>0</v>
      </c>
      <c r="AK261" s="9">
        <v>0</v>
      </c>
      <c r="AL261" s="9">
        <f>X261+AA261+AD261+AF261+AG261+AK261</f>
        <v>99.950000000000017</v>
      </c>
      <c r="AM261" s="9" t="s">
        <v>458</v>
      </c>
      <c r="AN261" s="9" t="s">
        <v>673</v>
      </c>
      <c r="AQ261" s="9">
        <v>23</v>
      </c>
      <c r="AR261" s="9" t="s">
        <v>773</v>
      </c>
      <c r="AS261" s="9">
        <v>23</v>
      </c>
      <c r="AT261" s="9" t="s">
        <v>761</v>
      </c>
      <c r="AU261" s="9">
        <f>AVERAGE(700,2300)</f>
        <v>1500</v>
      </c>
      <c r="AV261" s="9"/>
      <c r="AW261" s="9"/>
      <c r="AX261" s="9">
        <v>97.5</v>
      </c>
      <c r="AY261" s="9" t="s">
        <v>1306</v>
      </c>
      <c r="AZ261" s="9" t="s">
        <v>718</v>
      </c>
      <c r="BA261" s="17"/>
      <c r="BB261" s="17"/>
      <c r="BC261" s="17"/>
      <c r="BD261" s="17"/>
      <c r="BE261" s="17"/>
      <c r="BF261" s="17"/>
      <c r="BG261" s="17"/>
    </row>
    <row r="262" spans="1:59">
      <c r="A262" s="2" t="s">
        <v>1381</v>
      </c>
      <c r="E262" s="2" t="s">
        <v>284</v>
      </c>
      <c r="F262" s="2">
        <v>0</v>
      </c>
      <c r="N262" s="2">
        <v>1</v>
      </c>
      <c r="O262" s="9"/>
      <c r="P262" s="14"/>
      <c r="Q262" s="9"/>
      <c r="R262" s="9"/>
      <c r="S262" s="13"/>
      <c r="T262" s="8"/>
      <c r="U262" s="9"/>
      <c r="V262" s="2"/>
      <c r="W262" s="2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Q262" s="9"/>
      <c r="AR262" s="9" t="s">
        <v>1019</v>
      </c>
      <c r="AS262" s="9"/>
      <c r="AT262" s="2" t="s">
        <v>1020</v>
      </c>
      <c r="AU262" s="9"/>
      <c r="AV262" s="9"/>
      <c r="AW262" s="9"/>
      <c r="AX262" s="9"/>
      <c r="AY262" s="9"/>
      <c r="AZ262" s="9"/>
      <c r="BA262" s="17"/>
      <c r="BB262" s="17"/>
      <c r="BC262" s="17"/>
      <c r="BD262" s="17"/>
      <c r="BE262" s="17"/>
      <c r="BF262" s="17"/>
      <c r="BG262" s="17"/>
    </row>
    <row r="263" spans="1:59">
      <c r="A263" s="2" t="s">
        <v>1382</v>
      </c>
      <c r="E263" s="2" t="s">
        <v>284</v>
      </c>
      <c r="F263" s="2">
        <v>0</v>
      </c>
      <c r="L263" s="2">
        <f t="shared" ref="L263:L272" si="133">LOG(AS263)</f>
        <v>1.3710678622717363</v>
      </c>
      <c r="M263" s="2">
        <f>LOG(AX263)</f>
        <v>1.8750612633917001</v>
      </c>
      <c r="N263" s="2">
        <v>1</v>
      </c>
      <c r="O263" s="9"/>
      <c r="P263" s="14"/>
      <c r="Q263" s="9"/>
      <c r="R263" s="9"/>
      <c r="S263" s="13"/>
      <c r="T263" s="8"/>
      <c r="U263" s="9"/>
      <c r="V263" s="2"/>
      <c r="W263" s="2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Q263" s="9"/>
      <c r="AR263" s="9" t="s">
        <v>1021</v>
      </c>
      <c r="AS263" s="9">
        <v>23.5</v>
      </c>
      <c r="AT263" s="2" t="s">
        <v>612</v>
      </c>
      <c r="AU263" s="9"/>
      <c r="AV263" s="9"/>
      <c r="AW263" s="9"/>
      <c r="AX263" s="9">
        <v>75</v>
      </c>
      <c r="AY263" s="9" t="s">
        <v>1307</v>
      </c>
      <c r="AZ263" s="2" t="s">
        <v>612</v>
      </c>
      <c r="BA263" s="17"/>
      <c r="BB263" s="17"/>
      <c r="BC263" s="17"/>
      <c r="BD263" s="17"/>
      <c r="BE263" s="17"/>
      <c r="BF263" s="17"/>
      <c r="BG263" s="17"/>
    </row>
    <row r="264" spans="1:59">
      <c r="A264" s="2" t="s">
        <v>1369</v>
      </c>
      <c r="B264" s="2" t="s">
        <v>1417</v>
      </c>
      <c r="C264" s="2" t="s">
        <v>245</v>
      </c>
      <c r="E264" s="2" t="s">
        <v>295</v>
      </c>
      <c r="F264" s="2">
        <v>0</v>
      </c>
      <c r="G264" s="2">
        <f t="shared" ref="G264:G273" si="134">LOG(O264)</f>
        <v>0.75434833571101878</v>
      </c>
      <c r="H264" s="2">
        <f t="shared" si="132"/>
        <v>2.4297522800024081</v>
      </c>
      <c r="L264" s="2">
        <f t="shared" si="133"/>
        <v>0.3979400086720376</v>
      </c>
      <c r="M264" s="2">
        <f>LOG(AX264)</f>
        <v>0.38111508070985056</v>
      </c>
      <c r="N264" s="2">
        <v>0</v>
      </c>
      <c r="O264" s="12">
        <v>5.6799999999999988</v>
      </c>
      <c r="P264" s="2">
        <v>13</v>
      </c>
      <c r="Q264" s="2" t="s">
        <v>316</v>
      </c>
      <c r="R264" s="9" t="s">
        <v>308</v>
      </c>
      <c r="S264" s="13">
        <v>269</v>
      </c>
      <c r="T264" s="8">
        <v>13</v>
      </c>
      <c r="U264" s="9" t="s">
        <v>316</v>
      </c>
      <c r="V264" s="2" t="s">
        <v>363</v>
      </c>
      <c r="W264" s="2"/>
      <c r="AJ264" s="9"/>
      <c r="AL264" s="9"/>
      <c r="AM264" s="9" t="s">
        <v>460</v>
      </c>
      <c r="AN264" s="2" t="s">
        <v>674</v>
      </c>
      <c r="AO264" s="2">
        <v>2.5</v>
      </c>
      <c r="AP264" s="2" t="s">
        <v>1022</v>
      </c>
      <c r="AQ264" s="2">
        <v>1.5</v>
      </c>
      <c r="AR264" s="2" t="s">
        <v>1023</v>
      </c>
      <c r="AS264" s="2">
        <v>2.5</v>
      </c>
      <c r="AT264" s="2" t="s">
        <v>1024</v>
      </c>
      <c r="AV264" s="2">
        <v>2.84</v>
      </c>
      <c r="AW264" s="2">
        <v>1.97</v>
      </c>
      <c r="AX264" s="9">
        <v>2.4049999999999998</v>
      </c>
      <c r="AY264" s="2" t="s">
        <v>1308</v>
      </c>
      <c r="AZ264" s="2" t="s">
        <v>1309</v>
      </c>
      <c r="BA264" s="16"/>
      <c r="BB264" s="16"/>
      <c r="BC264" s="16"/>
      <c r="BD264" s="16"/>
      <c r="BE264" s="16"/>
      <c r="BF264" s="16"/>
      <c r="BG264" s="16"/>
    </row>
    <row r="265" spans="1:59">
      <c r="A265" s="2" t="s">
        <v>1370</v>
      </c>
      <c r="B265" s="2" t="s">
        <v>1418</v>
      </c>
      <c r="C265" s="2" t="s">
        <v>246</v>
      </c>
      <c r="E265" s="2" t="s">
        <v>295</v>
      </c>
      <c r="F265" s="2">
        <v>0</v>
      </c>
      <c r="G265" s="2">
        <f t="shared" si="134"/>
        <v>0.72895181511951979</v>
      </c>
      <c r="H265" s="2">
        <f t="shared" si="132"/>
        <v>2.4149733479708178</v>
      </c>
      <c r="I265" s="2">
        <f>LOG(X265)</f>
        <v>1.3979400086720377</v>
      </c>
      <c r="J265" s="2">
        <f>LOG(Y265)</f>
        <v>1.8633228601204559</v>
      </c>
      <c r="L265" s="2">
        <f t="shared" si="133"/>
        <v>0.3979400086720376</v>
      </c>
      <c r="M265" s="2">
        <f>LOG(AX265)</f>
        <v>1.414973347970818</v>
      </c>
      <c r="N265" s="2">
        <v>0</v>
      </c>
      <c r="O265" s="12">
        <v>5.3573721428571428</v>
      </c>
      <c r="P265" s="2">
        <v>7</v>
      </c>
      <c r="Q265" s="2" t="s">
        <v>316</v>
      </c>
      <c r="R265" s="9" t="s">
        <v>306</v>
      </c>
      <c r="S265" s="13">
        <v>260</v>
      </c>
      <c r="T265" s="8">
        <v>39</v>
      </c>
      <c r="U265" s="9" t="s">
        <v>316</v>
      </c>
      <c r="V265" s="2" t="s">
        <v>307</v>
      </c>
      <c r="W265" s="2"/>
      <c r="X265" s="2">
        <v>25</v>
      </c>
      <c r="Y265" s="2">
        <v>73</v>
      </c>
      <c r="AA265" s="2">
        <f>Y265+Z265</f>
        <v>73</v>
      </c>
      <c r="AB265" s="2">
        <v>2</v>
      </c>
      <c r="AC265" s="2">
        <v>0</v>
      </c>
      <c r="AD265" s="2">
        <f>AB265+AC265</f>
        <v>2</v>
      </c>
      <c r="AE265" s="9">
        <f>AA265+AD265</f>
        <v>75</v>
      </c>
      <c r="AF265" s="2">
        <v>0</v>
      </c>
      <c r="AG265" s="2">
        <v>0</v>
      </c>
      <c r="AH265" s="2">
        <v>0</v>
      </c>
      <c r="AI265" s="2">
        <v>0</v>
      </c>
      <c r="AJ265" s="9">
        <f>AG265</f>
        <v>0</v>
      </c>
      <c r="AK265" s="2">
        <v>0</v>
      </c>
      <c r="AL265" s="9">
        <f>SUM(X265+AA265+AD265+AF265+AG265+AK265)</f>
        <v>100</v>
      </c>
      <c r="AM265" s="9" t="s">
        <v>460</v>
      </c>
      <c r="AN265" s="2" t="s">
        <v>474</v>
      </c>
      <c r="AO265" s="2">
        <v>2.5</v>
      </c>
      <c r="AP265" s="2" t="s">
        <v>1025</v>
      </c>
      <c r="AS265" s="2">
        <v>2.5</v>
      </c>
      <c r="AT265" s="2" t="s">
        <v>720</v>
      </c>
      <c r="AV265" s="2">
        <v>40</v>
      </c>
      <c r="AW265" s="2">
        <v>12</v>
      </c>
      <c r="AX265" s="9">
        <v>26</v>
      </c>
      <c r="AZ265" s="2" t="s">
        <v>720</v>
      </c>
      <c r="BA265" s="16"/>
      <c r="BB265" s="16"/>
      <c r="BC265" s="16"/>
      <c r="BD265" s="16"/>
      <c r="BE265" s="16"/>
      <c r="BF265" s="16"/>
      <c r="BG265" s="16"/>
    </row>
    <row r="266" spans="1:59">
      <c r="A266" s="2" t="s">
        <v>247</v>
      </c>
      <c r="B266" s="2" t="s">
        <v>247</v>
      </c>
      <c r="C266" s="2" t="s">
        <v>247</v>
      </c>
      <c r="D266" s="2" t="s">
        <v>292</v>
      </c>
      <c r="E266" s="2" t="s">
        <v>272</v>
      </c>
      <c r="F266" s="2" t="s">
        <v>1345</v>
      </c>
      <c r="G266" s="2">
        <f t="shared" si="134"/>
        <v>1.9459405649038841</v>
      </c>
      <c r="H266" s="2">
        <f t="shared" si="132"/>
        <v>4.0056237358287472</v>
      </c>
      <c r="L266" s="2">
        <f t="shared" si="133"/>
        <v>1.4666558210414975</v>
      </c>
      <c r="M266" s="2">
        <f>LOG(AX266)</f>
        <v>2.0472748673841794</v>
      </c>
      <c r="N266" s="2">
        <v>1</v>
      </c>
      <c r="O266" s="12">
        <v>88.295905534766007</v>
      </c>
      <c r="P266" s="2">
        <v>6</v>
      </c>
      <c r="Q266" s="9" t="s">
        <v>305</v>
      </c>
      <c r="R266" s="9" t="s">
        <v>308</v>
      </c>
      <c r="S266" s="8">
        <v>10130.333333333334</v>
      </c>
      <c r="T266" s="10">
        <v>6</v>
      </c>
      <c r="U266" s="9" t="s">
        <v>305</v>
      </c>
      <c r="V266" s="9" t="s">
        <v>312</v>
      </c>
      <c r="W266" s="9" t="s">
        <v>311</v>
      </c>
      <c r="AN266" s="9"/>
      <c r="AO266" s="9"/>
      <c r="AP266" s="9"/>
      <c r="AQ266" s="9">
        <f>AVERAGE(19,54,22,28,38,15,29)</f>
        <v>29.285714285714285</v>
      </c>
      <c r="AR266" s="9" t="s">
        <v>1026</v>
      </c>
      <c r="AS266" s="9">
        <v>29.285714285714285</v>
      </c>
      <c r="AT266" s="9" t="s">
        <v>1027</v>
      </c>
      <c r="AU266" s="9"/>
      <c r="AV266" s="9"/>
      <c r="AW266" s="9"/>
      <c r="AX266" s="9">
        <v>111.5</v>
      </c>
      <c r="AY266" s="9" t="s">
        <v>1310</v>
      </c>
      <c r="AZ266" s="9" t="s">
        <v>1027</v>
      </c>
      <c r="BA266" s="17"/>
      <c r="BB266" s="17"/>
      <c r="BC266" s="17"/>
      <c r="BD266" s="17"/>
      <c r="BE266" s="17"/>
      <c r="BF266" s="17"/>
      <c r="BG266" s="17"/>
    </row>
    <row r="267" spans="1:59">
      <c r="A267" s="2" t="s">
        <v>248</v>
      </c>
      <c r="B267" s="2" t="s">
        <v>248</v>
      </c>
      <c r="C267" s="2" t="s">
        <v>248</v>
      </c>
      <c r="D267" s="2" t="s">
        <v>292</v>
      </c>
      <c r="E267" s="2" t="s">
        <v>272</v>
      </c>
      <c r="F267" s="2">
        <v>1</v>
      </c>
      <c r="G267" s="2">
        <f t="shared" si="134"/>
        <v>1.978805000254384</v>
      </c>
      <c r="H267" s="2">
        <f t="shared" si="132"/>
        <v>4.0404419595657375</v>
      </c>
      <c r="I267" s="2">
        <f>LOG(X267)</f>
        <v>0.47712125471966244</v>
      </c>
      <c r="J267" s="2">
        <f>LOG(Y267)</f>
        <v>1.3473300153169503</v>
      </c>
      <c r="K267" s="2">
        <f>LOG(AG267)</f>
        <v>1.7375901662857216</v>
      </c>
      <c r="L267" s="2">
        <f t="shared" si="133"/>
        <v>1.6780629049743452</v>
      </c>
      <c r="N267" s="2">
        <v>1</v>
      </c>
      <c r="O267" s="12">
        <v>95.236845123363182</v>
      </c>
      <c r="P267" s="2">
        <v>4</v>
      </c>
      <c r="Q267" s="9" t="s">
        <v>305</v>
      </c>
      <c r="R267" s="9" t="s">
        <v>308</v>
      </c>
      <c r="S267" s="13">
        <v>10975.945945945947</v>
      </c>
      <c r="T267" s="8">
        <v>37</v>
      </c>
      <c r="U267" s="9" t="s">
        <v>305</v>
      </c>
      <c r="V267" s="20" t="s">
        <v>435</v>
      </c>
      <c r="W267" s="2"/>
      <c r="X267" s="9">
        <v>3</v>
      </c>
      <c r="Y267" s="2">
        <f>AVERAGE(24.4, 20.1)</f>
        <v>22.25</v>
      </c>
      <c r="Z267" s="9"/>
      <c r="AA267" s="2">
        <f t="shared" ref="AA267:AA272" si="135">Y267+Z267</f>
        <v>22.25</v>
      </c>
      <c r="AB267" s="9"/>
      <c r="AC267" s="9">
        <f>AVERAGE(9.5,7.8)</f>
        <v>8.65</v>
      </c>
      <c r="AD267" s="2">
        <f t="shared" ref="AD267:AD272" si="136">AB267+AC267</f>
        <v>8.65</v>
      </c>
      <c r="AE267" s="9">
        <f t="shared" ref="AE267:AE272" si="137">AA267+AD267</f>
        <v>30.9</v>
      </c>
      <c r="AF267" s="9">
        <v>1</v>
      </c>
      <c r="AG267" s="9">
        <v>54.650000000000006</v>
      </c>
      <c r="AH267" s="9">
        <f>AVERAGE(3.6,14)</f>
        <v>8.8000000000000007</v>
      </c>
      <c r="AI267" s="9">
        <f>AVERAGE(34.9,46.4)</f>
        <v>40.65</v>
      </c>
      <c r="AJ267" s="9">
        <f>AK267+AG267</f>
        <v>65.050000000000011</v>
      </c>
      <c r="AK267" s="9">
        <v>10.4</v>
      </c>
      <c r="AL267" s="9">
        <f>SUM(X267+AA267+AD267+AF267+AG267+AK267)</f>
        <v>99.950000000000017</v>
      </c>
      <c r="AM267" s="9" t="s">
        <v>495</v>
      </c>
      <c r="AN267" s="9" t="s">
        <v>675</v>
      </c>
      <c r="AR267" s="9" t="s">
        <v>1028</v>
      </c>
      <c r="AS267" s="2">
        <v>47.65</v>
      </c>
      <c r="AT267" s="9" t="s">
        <v>1029</v>
      </c>
      <c r="AU267" s="9"/>
      <c r="AY267" s="9" t="s">
        <v>1311</v>
      </c>
      <c r="AZ267" s="9" t="s">
        <v>1312</v>
      </c>
      <c r="BA267" s="16"/>
      <c r="BB267" s="16"/>
      <c r="BC267" s="16"/>
      <c r="BD267" s="16"/>
      <c r="BE267" s="16"/>
      <c r="BF267" s="16"/>
      <c r="BG267" s="16"/>
    </row>
    <row r="268" spans="1:59">
      <c r="A268" s="2" t="s">
        <v>249</v>
      </c>
      <c r="B268" s="2" t="s">
        <v>249</v>
      </c>
      <c r="C268" s="2" t="s">
        <v>249</v>
      </c>
      <c r="D268" s="2" t="s">
        <v>292</v>
      </c>
      <c r="E268" s="2" t="s">
        <v>272</v>
      </c>
      <c r="F268" s="2" t="s">
        <v>1345</v>
      </c>
      <c r="G268" s="2">
        <f t="shared" si="134"/>
        <v>1.8767467103685405</v>
      </c>
      <c r="H268" s="2">
        <f t="shared" si="132"/>
        <v>3.8180278418592564</v>
      </c>
      <c r="J268" s="2">
        <f>LOG(Y268)</f>
        <v>1.6532125137753437</v>
      </c>
      <c r="K268" s="2">
        <f>LOG(AG268)</f>
        <v>1.6812412373755872</v>
      </c>
      <c r="L268" s="2">
        <f t="shared" si="133"/>
        <v>1.4828735836087537</v>
      </c>
      <c r="M268" s="2">
        <f>LOG(AX268)</f>
        <v>2.1889284837608534</v>
      </c>
      <c r="N268" s="2">
        <v>1</v>
      </c>
      <c r="O268" s="12">
        <v>75.291631910229256</v>
      </c>
      <c r="P268" s="2">
        <v>7</v>
      </c>
      <c r="Q268" s="9" t="s">
        <v>305</v>
      </c>
      <c r="R268" s="9" t="s">
        <v>308</v>
      </c>
      <c r="S268" s="8">
        <v>6577</v>
      </c>
      <c r="T268" s="10">
        <v>2</v>
      </c>
      <c r="U268" s="9" t="s">
        <v>305</v>
      </c>
      <c r="V268" s="9" t="s">
        <v>312</v>
      </c>
      <c r="W268" s="9" t="s">
        <v>311</v>
      </c>
      <c r="X268" s="2">
        <v>0</v>
      </c>
      <c r="Y268" s="2">
        <v>45</v>
      </c>
      <c r="AA268" s="2">
        <f t="shared" si="135"/>
        <v>45</v>
      </c>
      <c r="AC268" s="2">
        <v>7</v>
      </c>
      <c r="AD268" s="2">
        <f t="shared" si="136"/>
        <v>7</v>
      </c>
      <c r="AE268" s="9">
        <f t="shared" si="137"/>
        <v>52</v>
      </c>
      <c r="AG268" s="2">
        <v>48</v>
      </c>
      <c r="AH268" s="2">
        <v>27</v>
      </c>
      <c r="AI268" s="2">
        <v>21</v>
      </c>
      <c r="AJ268" s="2">
        <f>AG268</f>
        <v>48</v>
      </c>
      <c r="AK268" s="2">
        <v>0</v>
      </c>
      <c r="AL268" s="9">
        <f>SUM(X268+AA268+AD268+AF268+AG268+AK268)</f>
        <v>100</v>
      </c>
      <c r="AM268" s="9" t="s">
        <v>460</v>
      </c>
      <c r="AN268" s="9" t="s">
        <v>641</v>
      </c>
      <c r="AQ268" s="2">
        <f>AVERAGE(23.8,37)</f>
        <v>30.4</v>
      </c>
      <c r="AS268" s="2">
        <v>30.4</v>
      </c>
      <c r="AT268" s="2" t="s">
        <v>1030</v>
      </c>
      <c r="AU268" s="2">
        <v>402</v>
      </c>
      <c r="AX268" s="2">
        <v>154.5</v>
      </c>
      <c r="AY268" s="2" t="s">
        <v>1313</v>
      </c>
      <c r="AZ268" s="2" t="s">
        <v>1314</v>
      </c>
      <c r="BA268" s="16"/>
      <c r="BB268" s="16"/>
      <c r="BC268" s="16"/>
      <c r="BD268" s="16"/>
      <c r="BE268" s="16"/>
      <c r="BF268" s="16"/>
      <c r="BG268" s="16"/>
    </row>
    <row r="269" spans="1:59">
      <c r="A269" s="2" t="s">
        <v>250</v>
      </c>
      <c r="B269" s="2" t="s">
        <v>250</v>
      </c>
      <c r="C269" s="2" t="s">
        <v>250</v>
      </c>
      <c r="D269" s="2" t="s">
        <v>292</v>
      </c>
      <c r="E269" s="2" t="s">
        <v>272</v>
      </c>
      <c r="F269" s="2">
        <v>0</v>
      </c>
      <c r="G269" s="2">
        <f t="shared" si="134"/>
        <v>2.1008050317170639</v>
      </c>
      <c r="H269" s="2">
        <f t="shared" si="132"/>
        <v>4.1702617153949575</v>
      </c>
      <c r="I269" s="2">
        <f t="shared" ref="I269:I279" si="138">LOG(X269)</f>
        <v>-0.3010299956639812</v>
      </c>
      <c r="J269" s="2">
        <f>LOG(Y269)</f>
        <v>1.3031960574204888</v>
      </c>
      <c r="K269" s="2">
        <f>LOG(AG269)</f>
        <v>1.7810369386211318</v>
      </c>
      <c r="L269" s="2">
        <f t="shared" si="133"/>
        <v>1.449478399187365</v>
      </c>
      <c r="M269" s="2">
        <f>LOG(AX269)</f>
        <v>2.6776069527204931</v>
      </c>
      <c r="N269" s="2">
        <v>1</v>
      </c>
      <c r="O269" s="12">
        <v>126.12611881504044</v>
      </c>
      <c r="P269" s="2">
        <v>5</v>
      </c>
      <c r="Q269" s="9" t="s">
        <v>305</v>
      </c>
      <c r="R269" s="9" t="s">
        <v>308</v>
      </c>
      <c r="S269" s="10">
        <v>14800</v>
      </c>
      <c r="T269" s="10">
        <v>9</v>
      </c>
      <c r="U269" s="9" t="s">
        <v>305</v>
      </c>
      <c r="V269" s="2" t="s">
        <v>307</v>
      </c>
      <c r="W269" s="2"/>
      <c r="X269" s="2">
        <v>0.5</v>
      </c>
      <c r="Y269" s="2">
        <v>20.100000000000001</v>
      </c>
      <c r="AA269" s="2">
        <f t="shared" si="135"/>
        <v>20.100000000000001</v>
      </c>
      <c r="AC269" s="2">
        <v>7.8</v>
      </c>
      <c r="AD269" s="2">
        <f t="shared" si="136"/>
        <v>7.8</v>
      </c>
      <c r="AE269" s="2">
        <f t="shared" si="137"/>
        <v>27.900000000000002</v>
      </c>
      <c r="AF269" s="2">
        <v>0</v>
      </c>
      <c r="AG269" s="2">
        <v>60.4</v>
      </c>
      <c r="AH269" s="2">
        <v>14</v>
      </c>
      <c r="AI269" s="2">
        <v>46.4</v>
      </c>
      <c r="AJ269" s="2">
        <f>AG269</f>
        <v>60.4</v>
      </c>
      <c r="AK269" s="2">
        <v>11.2</v>
      </c>
      <c r="AL269" s="2">
        <f>X269+AA269+AD269+AF269+AG269+AK269</f>
        <v>100</v>
      </c>
      <c r="AN269" s="2" t="s">
        <v>676</v>
      </c>
      <c r="AQ269" s="2">
        <f>AVERAGE(12.3,18.3,39,43)</f>
        <v>28.15</v>
      </c>
      <c r="AR269" s="2" t="s">
        <v>1031</v>
      </c>
      <c r="AS269" s="2">
        <v>28.15</v>
      </c>
      <c r="AT269" s="2" t="s">
        <v>657</v>
      </c>
      <c r="AU269" s="2">
        <f>AVERAGE(1200,290,1029)</f>
        <v>839.66666666666663</v>
      </c>
      <c r="AX269" s="2">
        <v>476</v>
      </c>
      <c r="AY269" s="2" t="s">
        <v>1315</v>
      </c>
      <c r="AZ269" s="9" t="s">
        <v>1316</v>
      </c>
      <c r="BA269" s="16"/>
      <c r="BB269" s="16"/>
      <c r="BC269" s="16"/>
      <c r="BD269" s="16"/>
      <c r="BE269" s="16"/>
      <c r="BF269" s="16"/>
      <c r="BG269" s="16"/>
    </row>
    <row r="270" spans="1:59">
      <c r="A270" s="2" t="s">
        <v>251</v>
      </c>
      <c r="B270" s="2" t="s">
        <v>251</v>
      </c>
      <c r="C270" s="2" t="s">
        <v>251</v>
      </c>
      <c r="D270" s="2" t="s">
        <v>292</v>
      </c>
      <c r="E270" s="2" t="s">
        <v>272</v>
      </c>
      <c r="F270" s="2">
        <v>0</v>
      </c>
      <c r="G270" s="2">
        <f t="shared" si="134"/>
        <v>1.7197652447819547</v>
      </c>
      <c r="H270" s="2">
        <f t="shared" si="132"/>
        <v>3.8325089127062362</v>
      </c>
      <c r="I270" s="2">
        <f t="shared" si="138"/>
        <v>0.3010299956639812</v>
      </c>
      <c r="J270" s="2">
        <f>LOG(Y270)</f>
        <v>1.4771212547196624</v>
      </c>
      <c r="K270" s="2">
        <f>LOG(AG270)</f>
        <v>1.5440680443502757</v>
      </c>
      <c r="L270" s="2">
        <f t="shared" si="133"/>
        <v>0.65321251377534373</v>
      </c>
      <c r="N270" s="2">
        <v>1</v>
      </c>
      <c r="O270" s="12">
        <v>52.452385545384914</v>
      </c>
      <c r="P270" s="2">
        <v>6</v>
      </c>
      <c r="Q270" s="9" t="s">
        <v>305</v>
      </c>
      <c r="R270" s="9" t="s">
        <v>308</v>
      </c>
      <c r="S270" s="13">
        <v>6800</v>
      </c>
      <c r="T270" s="8">
        <v>3</v>
      </c>
      <c r="U270" s="9" t="s">
        <v>305</v>
      </c>
      <c r="V270" s="2" t="s">
        <v>306</v>
      </c>
      <c r="W270" s="2" t="s">
        <v>414</v>
      </c>
      <c r="X270" s="2">
        <v>2</v>
      </c>
      <c r="Y270" s="2">
        <v>30</v>
      </c>
      <c r="Z270" s="2">
        <v>15</v>
      </c>
      <c r="AA270" s="2">
        <f t="shared" si="135"/>
        <v>45</v>
      </c>
      <c r="AC270" s="2">
        <v>15</v>
      </c>
      <c r="AD270" s="2">
        <f t="shared" si="136"/>
        <v>15</v>
      </c>
      <c r="AE270" s="9">
        <f t="shared" si="137"/>
        <v>60</v>
      </c>
      <c r="AF270" s="2">
        <v>0</v>
      </c>
      <c r="AG270" s="2">
        <v>35</v>
      </c>
      <c r="AH270" s="2">
        <v>30</v>
      </c>
      <c r="AI270" s="2">
        <v>5</v>
      </c>
      <c r="AJ270" s="2">
        <f>AG270</f>
        <v>35</v>
      </c>
      <c r="AK270" s="2">
        <v>3</v>
      </c>
      <c r="AL270" s="9">
        <f>SUM(X270+AA270+AD270+AF270+AG270+AK270)</f>
        <v>100</v>
      </c>
      <c r="AM270" s="9" t="s">
        <v>460</v>
      </c>
      <c r="AN270" s="2" t="s">
        <v>677</v>
      </c>
      <c r="AQ270" s="2">
        <f>AVERAGE(1,8)</f>
        <v>4.5</v>
      </c>
      <c r="AR270" s="2" t="s">
        <v>1032</v>
      </c>
      <c r="AS270" s="2">
        <v>4.5</v>
      </c>
      <c r="AT270" s="2" t="s">
        <v>677</v>
      </c>
      <c r="AU270" s="2">
        <v>700</v>
      </c>
      <c r="AZ270" s="9"/>
      <c r="BA270" s="16"/>
      <c r="BB270" s="16"/>
      <c r="BC270" s="16"/>
      <c r="BD270" s="16"/>
      <c r="BE270" s="16"/>
      <c r="BF270" s="16"/>
      <c r="BG270" s="16"/>
    </row>
    <row r="271" spans="1:59">
      <c r="A271" s="2" t="s">
        <v>252</v>
      </c>
      <c r="B271" s="2" t="s">
        <v>252</v>
      </c>
      <c r="C271" s="2" t="s">
        <v>252</v>
      </c>
      <c r="E271" s="2" t="s">
        <v>297</v>
      </c>
      <c r="F271" s="2">
        <v>0</v>
      </c>
      <c r="G271" s="2">
        <f t="shared" si="134"/>
        <v>2.0952110540005529</v>
      </c>
      <c r="H271" s="2">
        <f t="shared" si="132"/>
        <v>4.0528862352563815</v>
      </c>
      <c r="I271" s="2">
        <f t="shared" si="138"/>
        <v>0.97312785359969867</v>
      </c>
      <c r="J271" s="2">
        <f>LOG(Y271)</f>
        <v>1.61066016308988</v>
      </c>
      <c r="K271" s="2">
        <f>LOG(AG271)</f>
        <v>1.6565772913961141</v>
      </c>
      <c r="L271" s="2">
        <f t="shared" si="133"/>
        <v>0.55479190974204873</v>
      </c>
      <c r="M271" s="2">
        <f>LOG(AX271)</f>
        <v>1.4983105537896004</v>
      </c>
      <c r="N271" s="2">
        <v>1</v>
      </c>
      <c r="O271" s="12">
        <v>124.51195552629785</v>
      </c>
      <c r="P271" s="2">
        <v>64</v>
      </c>
      <c r="Q271" s="2" t="s">
        <v>316</v>
      </c>
      <c r="R271" s="9" t="s">
        <v>306</v>
      </c>
      <c r="S271" s="13">
        <v>11295</v>
      </c>
      <c r="T271" s="8">
        <v>17</v>
      </c>
      <c r="U271" s="9" t="s">
        <v>316</v>
      </c>
      <c r="V271" s="2" t="s">
        <v>306</v>
      </c>
      <c r="W271" s="2" t="s">
        <v>307</v>
      </c>
      <c r="X271" s="9">
        <f>AVERAGE(1,2,15,8,21)</f>
        <v>9.4</v>
      </c>
      <c r="Y271" s="9">
        <f>AVERAGE(47,32,36,45,61)-3.4</f>
        <v>40.800000000000004</v>
      </c>
      <c r="Z271" s="9"/>
      <c r="AA271" s="2">
        <f t="shared" si="135"/>
        <v>40.800000000000004</v>
      </c>
      <c r="AB271" s="9"/>
      <c r="AC271" s="9">
        <f>AVERAGE(2,9,6,4,1)</f>
        <v>4.4000000000000004</v>
      </c>
      <c r="AD271" s="2">
        <f t="shared" si="136"/>
        <v>4.4000000000000004</v>
      </c>
      <c r="AE271" s="9">
        <f t="shared" si="137"/>
        <v>45.2</v>
      </c>
      <c r="AF271" s="9"/>
      <c r="AG271" s="9">
        <v>45.35</v>
      </c>
      <c r="AH271" s="9">
        <v>44.4</v>
      </c>
      <c r="AI271" s="9">
        <v>1</v>
      </c>
      <c r="AJ271" s="2">
        <f>AG271</f>
        <v>45.35</v>
      </c>
      <c r="AK271" s="9">
        <v>0</v>
      </c>
      <c r="AL271" s="9">
        <f>SUM(X271+AA271+AD271+AF271+AG271+AK271)</f>
        <v>99.95</v>
      </c>
      <c r="AM271" s="9" t="s">
        <v>458</v>
      </c>
      <c r="AN271" s="2" t="s">
        <v>572</v>
      </c>
      <c r="AO271" s="9"/>
      <c r="AP271" s="9"/>
      <c r="AQ271" s="9">
        <f>AVERAGE(3.2,4,3.75,3.4)</f>
        <v>3.5874999999999999</v>
      </c>
      <c r="AR271" s="9" t="s">
        <v>970</v>
      </c>
      <c r="AS271" s="9">
        <v>3.5874999999999999</v>
      </c>
      <c r="AT271" s="2" t="s">
        <v>657</v>
      </c>
      <c r="AU271" s="2">
        <f>AVERAGE(969,800,1155,700)</f>
        <v>906</v>
      </c>
      <c r="AV271" s="9"/>
      <c r="AW271" s="9"/>
      <c r="AX271" s="9">
        <v>31.5</v>
      </c>
      <c r="AY271" s="9" t="s">
        <v>773</v>
      </c>
      <c r="AZ271" s="2" t="s">
        <v>572</v>
      </c>
      <c r="BA271" s="17"/>
      <c r="BB271" s="17"/>
      <c r="BC271" s="17"/>
      <c r="BD271" s="17"/>
      <c r="BE271" s="17"/>
      <c r="BF271" s="17"/>
      <c r="BG271" s="17"/>
    </row>
    <row r="272" spans="1:59">
      <c r="A272" s="2" t="s">
        <v>253</v>
      </c>
      <c r="B272" s="2" t="s">
        <v>253</v>
      </c>
      <c r="C272" s="2" t="s">
        <v>253</v>
      </c>
      <c r="E272" s="2" t="s">
        <v>283</v>
      </c>
      <c r="F272" s="2">
        <v>0</v>
      </c>
      <c r="G272" s="2">
        <f t="shared" si="134"/>
        <v>0.49799810415165652</v>
      </c>
      <c r="H272" s="2">
        <f t="shared" si="132"/>
        <v>2.0442546031386315</v>
      </c>
      <c r="I272" s="2">
        <f t="shared" si="138"/>
        <v>2</v>
      </c>
      <c r="L272" s="2">
        <f t="shared" si="133"/>
        <v>0</v>
      </c>
      <c r="M272" s="2">
        <f>LOG(AX272)</f>
        <v>0.69664029130370897</v>
      </c>
      <c r="N272" s="2">
        <v>0</v>
      </c>
      <c r="O272" s="12">
        <v>3.147734573101487</v>
      </c>
      <c r="P272" s="2">
        <v>30</v>
      </c>
      <c r="Q272" s="2" t="s">
        <v>316</v>
      </c>
      <c r="R272" s="9" t="s">
        <v>308</v>
      </c>
      <c r="S272" s="13">
        <v>110.72727272727273</v>
      </c>
      <c r="T272" s="8">
        <v>11</v>
      </c>
      <c r="U272" s="9" t="s">
        <v>316</v>
      </c>
      <c r="V272" s="9" t="s">
        <v>312</v>
      </c>
      <c r="W272" s="9" t="s">
        <v>311</v>
      </c>
      <c r="X272" s="9">
        <v>100</v>
      </c>
      <c r="Y272" s="9">
        <v>0</v>
      </c>
      <c r="Z272" s="9"/>
      <c r="AA272" s="2">
        <f t="shared" si="135"/>
        <v>0</v>
      </c>
      <c r="AB272" s="9">
        <v>0</v>
      </c>
      <c r="AC272" s="9">
        <v>0</v>
      </c>
      <c r="AD272" s="2">
        <f t="shared" si="136"/>
        <v>0</v>
      </c>
      <c r="AE272" s="9">
        <f t="shared" si="137"/>
        <v>0</v>
      </c>
      <c r="AF272" s="9">
        <v>0</v>
      </c>
      <c r="AG272" s="9">
        <v>0</v>
      </c>
      <c r="AH272" s="9">
        <v>0</v>
      </c>
      <c r="AI272" s="9">
        <v>0</v>
      </c>
      <c r="AJ272" s="2">
        <f>AG272</f>
        <v>0</v>
      </c>
      <c r="AK272" s="9">
        <v>0</v>
      </c>
      <c r="AL272" s="9">
        <f>SUM(X272+AA272+AD272+AF272+AG272+AK272)</f>
        <v>100</v>
      </c>
      <c r="AM272" s="9" t="s">
        <v>458</v>
      </c>
      <c r="AN272" s="9" t="s">
        <v>678</v>
      </c>
      <c r="AO272" s="2">
        <v>1</v>
      </c>
      <c r="AP272" s="2" t="s">
        <v>1033</v>
      </c>
      <c r="AQ272" s="9">
        <v>1</v>
      </c>
      <c r="AR272" s="9"/>
      <c r="AS272" s="9">
        <v>1</v>
      </c>
      <c r="AT272" s="9" t="s">
        <v>681</v>
      </c>
      <c r="AU272" s="9">
        <f>AVERAGE(1154.8,1013.4,839.4,715.3)</f>
        <v>930.72499999999991</v>
      </c>
      <c r="AV272" s="9">
        <f>AVERAGE(10.245,4.29)</f>
        <v>7.2675000000000001</v>
      </c>
      <c r="AW272" s="9">
        <f>AVERAGE(2.318,3.04)</f>
        <v>2.6790000000000003</v>
      </c>
      <c r="AX272" s="9">
        <v>4.9732500000000002</v>
      </c>
      <c r="AY272" s="9" t="s">
        <v>1317</v>
      </c>
      <c r="AZ272" s="9" t="s">
        <v>1318</v>
      </c>
      <c r="BA272" s="17"/>
      <c r="BB272" s="17"/>
      <c r="BC272" s="17"/>
      <c r="BD272" s="17"/>
      <c r="BE272" s="17"/>
      <c r="BF272" s="17"/>
      <c r="BG272" s="17"/>
    </row>
    <row r="273" spans="1:59">
      <c r="A273" s="2" t="s">
        <v>254</v>
      </c>
      <c r="B273" s="2" t="s">
        <v>254</v>
      </c>
      <c r="C273" s="2" t="s">
        <v>254</v>
      </c>
      <c r="E273" s="2" t="s">
        <v>283</v>
      </c>
      <c r="F273" s="2">
        <v>0</v>
      </c>
      <c r="G273" s="2">
        <f t="shared" si="134"/>
        <v>0.47646163979646527</v>
      </c>
      <c r="I273" s="2">
        <f t="shared" si="138"/>
        <v>2</v>
      </c>
      <c r="M273" s="2">
        <f>LOG(AX273)</f>
        <v>0.16136800223497494</v>
      </c>
      <c r="N273" s="2">
        <v>0</v>
      </c>
      <c r="O273" s="12">
        <v>2.995447</v>
      </c>
      <c r="P273" s="2">
        <v>2</v>
      </c>
      <c r="Q273" s="2" t="s">
        <v>318</v>
      </c>
      <c r="R273" s="9" t="s">
        <v>308</v>
      </c>
      <c r="S273" s="13"/>
      <c r="T273" s="8"/>
      <c r="U273" s="9"/>
      <c r="V273" s="9"/>
      <c r="W273" s="9"/>
      <c r="X273" s="9">
        <v>100</v>
      </c>
      <c r="Y273" s="9"/>
      <c r="Z273" s="9"/>
      <c r="AA273" s="2">
        <v>0</v>
      </c>
      <c r="AB273" s="9"/>
      <c r="AC273" s="9"/>
      <c r="AD273" s="2">
        <v>0</v>
      </c>
      <c r="AE273" s="9">
        <v>0</v>
      </c>
      <c r="AF273" s="9">
        <v>0</v>
      </c>
      <c r="AG273" s="9">
        <v>0</v>
      </c>
      <c r="AH273" s="9"/>
      <c r="AI273" s="9"/>
      <c r="AK273" s="9">
        <v>0</v>
      </c>
      <c r="AL273" s="9">
        <f>SUM(X273+AA273+AD273+AF273+AG273+AK273)</f>
        <v>100</v>
      </c>
      <c r="AM273" s="9"/>
      <c r="AN273" s="9" t="s">
        <v>679</v>
      </c>
      <c r="AQ273" s="9"/>
      <c r="AR273" s="9" t="s">
        <v>745</v>
      </c>
      <c r="AS273" s="9"/>
      <c r="AT273" s="2" t="s">
        <v>612</v>
      </c>
      <c r="AU273" s="9">
        <f>AVERAGE(600,1260)</f>
        <v>930</v>
      </c>
      <c r="AV273" s="9">
        <v>1.8</v>
      </c>
      <c r="AW273" s="9">
        <v>1.6</v>
      </c>
      <c r="AX273" s="9">
        <f>AVERAGE(1.1,1.8)</f>
        <v>1.4500000000000002</v>
      </c>
      <c r="AY273" s="9" t="s">
        <v>1319</v>
      </c>
      <c r="AZ273" s="2" t="s">
        <v>612</v>
      </c>
      <c r="BA273" s="17"/>
      <c r="BB273" s="17"/>
      <c r="BC273" s="17"/>
      <c r="BD273" s="17"/>
      <c r="BE273" s="17"/>
      <c r="BF273" s="17"/>
      <c r="BG273" s="17"/>
    </row>
    <row r="274" spans="1:59">
      <c r="A274" s="2" t="s">
        <v>1383</v>
      </c>
      <c r="E274" s="2" t="s">
        <v>283</v>
      </c>
      <c r="F274" s="2">
        <v>0</v>
      </c>
      <c r="I274" s="2">
        <f t="shared" si="138"/>
        <v>2</v>
      </c>
      <c r="L274" s="2">
        <f>LOG(AS274)</f>
        <v>0.54406804435027567</v>
      </c>
      <c r="N274" s="2">
        <v>0</v>
      </c>
      <c r="O274" s="12"/>
      <c r="Q274" s="2"/>
      <c r="R274" s="9"/>
      <c r="S274" s="13"/>
      <c r="T274" s="8"/>
      <c r="U274" s="9"/>
      <c r="V274" s="9"/>
      <c r="W274" s="9"/>
      <c r="X274" s="9">
        <v>100</v>
      </c>
      <c r="Y274" s="9"/>
      <c r="Z274" s="9"/>
      <c r="AB274" s="9"/>
      <c r="AC274" s="9"/>
      <c r="AE274" s="9"/>
      <c r="AF274" s="9"/>
      <c r="AG274" s="9"/>
      <c r="AH274" s="9"/>
      <c r="AI274" s="9"/>
      <c r="AK274" s="9"/>
      <c r="AL274" s="9"/>
      <c r="AM274" s="9"/>
      <c r="AN274" s="9"/>
      <c r="AQ274" s="9">
        <v>3.5</v>
      </c>
      <c r="AR274" s="9" t="s">
        <v>712</v>
      </c>
      <c r="AS274" s="9">
        <v>3.5</v>
      </c>
      <c r="AT274" s="2" t="s">
        <v>612</v>
      </c>
      <c r="AU274" s="9"/>
      <c r="AV274" s="9"/>
      <c r="AW274" s="9"/>
      <c r="AX274" s="9"/>
      <c r="AY274" s="9"/>
      <c r="AZ274" s="9"/>
      <c r="BA274" s="17"/>
      <c r="BB274" s="17"/>
      <c r="BC274" s="17"/>
      <c r="BD274" s="17"/>
      <c r="BE274" s="17"/>
      <c r="BF274" s="17"/>
      <c r="BG274" s="17"/>
    </row>
    <row r="275" spans="1:59">
      <c r="A275" s="2" t="s">
        <v>255</v>
      </c>
      <c r="B275" s="2" t="s">
        <v>255</v>
      </c>
      <c r="C275" s="2" t="s">
        <v>255</v>
      </c>
      <c r="E275" s="2" t="s">
        <v>283</v>
      </c>
      <c r="F275" s="2">
        <v>0</v>
      </c>
      <c r="G275" s="2">
        <f>LOG(O275)</f>
        <v>0.52928266399997592</v>
      </c>
      <c r="H275" s="2">
        <f t="shared" si="132"/>
        <v>2.1105897102992488</v>
      </c>
      <c r="I275" s="2">
        <f t="shared" si="138"/>
        <v>2</v>
      </c>
      <c r="L275" s="2">
        <f>LOG(AS275)</f>
        <v>0</v>
      </c>
      <c r="M275" s="2">
        <f>LOG(AX275)</f>
        <v>0.68214507637383182</v>
      </c>
      <c r="N275" s="2">
        <v>0</v>
      </c>
      <c r="O275" s="12">
        <v>3.3828494</v>
      </c>
      <c r="P275" s="2">
        <v>10</v>
      </c>
      <c r="Q275" s="2" t="s">
        <v>316</v>
      </c>
      <c r="R275" s="9" t="s">
        <v>308</v>
      </c>
      <c r="S275" s="10">
        <v>129</v>
      </c>
      <c r="T275" s="10">
        <v>14</v>
      </c>
      <c r="U275" s="9" t="s">
        <v>316</v>
      </c>
      <c r="V275" s="9" t="s">
        <v>436</v>
      </c>
      <c r="W275" s="2" t="s">
        <v>437</v>
      </c>
      <c r="X275" s="2">
        <v>100</v>
      </c>
      <c r="Y275" s="9">
        <v>0</v>
      </c>
      <c r="Z275" s="9"/>
      <c r="AA275" s="2">
        <f>Y275+Z275</f>
        <v>0</v>
      </c>
      <c r="AB275" s="9">
        <v>0</v>
      </c>
      <c r="AC275" s="9">
        <v>0</v>
      </c>
      <c r="AD275" s="2">
        <f>AB275+AC275</f>
        <v>0</v>
      </c>
      <c r="AE275" s="9">
        <f>AA275+AD275</f>
        <v>0</v>
      </c>
      <c r="AF275" s="9">
        <v>0</v>
      </c>
      <c r="AG275" s="9">
        <v>0</v>
      </c>
      <c r="AH275" s="9">
        <v>0</v>
      </c>
      <c r="AI275" s="9">
        <v>0</v>
      </c>
      <c r="AJ275" s="2">
        <f>AG275</f>
        <v>0</v>
      </c>
      <c r="AK275" s="9">
        <v>0</v>
      </c>
      <c r="AL275" s="9">
        <f>SUM(X275+AA275+AD275+AF275+AG275+AK275)</f>
        <v>100</v>
      </c>
      <c r="AM275" s="9" t="s">
        <v>460</v>
      </c>
      <c r="AN275" s="2" t="s">
        <v>680</v>
      </c>
      <c r="AO275" s="2">
        <v>1</v>
      </c>
      <c r="AQ275" s="2">
        <v>1</v>
      </c>
      <c r="AR275" s="2" t="s">
        <v>1033</v>
      </c>
      <c r="AS275" s="2">
        <v>1</v>
      </c>
      <c r="AT275" s="9" t="s">
        <v>681</v>
      </c>
      <c r="AU275" s="2">
        <v>1325.4</v>
      </c>
      <c r="AV275" s="2">
        <v>6.86</v>
      </c>
      <c r="AW275" s="2">
        <v>2.76</v>
      </c>
      <c r="AX275" s="9">
        <v>4.8100000000000005</v>
      </c>
      <c r="AZ275" s="2" t="s">
        <v>1320</v>
      </c>
      <c r="BA275" s="16"/>
      <c r="BB275" s="17"/>
      <c r="BC275" s="17"/>
      <c r="BD275" s="17"/>
      <c r="BE275" s="17"/>
      <c r="BF275" s="17"/>
      <c r="BG275" s="17"/>
    </row>
    <row r="276" spans="1:59">
      <c r="A276" s="2" t="s">
        <v>256</v>
      </c>
      <c r="B276" s="2" t="s">
        <v>256</v>
      </c>
      <c r="C276" s="2" t="s">
        <v>256</v>
      </c>
      <c r="E276" s="2" t="s">
        <v>283</v>
      </c>
      <c r="F276" s="2">
        <v>0</v>
      </c>
      <c r="G276" s="2">
        <f>LOG(O276)</f>
        <v>0.51248976612306552</v>
      </c>
      <c r="H276" s="2">
        <f t="shared" si="132"/>
        <v>2.0663259253620376</v>
      </c>
      <c r="I276" s="2">
        <f t="shared" si="138"/>
        <v>2</v>
      </c>
      <c r="L276" s="2">
        <f>LOG(AS276)</f>
        <v>0.47712125471966244</v>
      </c>
      <c r="M276" s="2">
        <f>LOG(AX276)</f>
        <v>0.43055876952275746</v>
      </c>
      <c r="N276" s="2">
        <v>0</v>
      </c>
      <c r="O276" s="12">
        <v>3.2545411428571431</v>
      </c>
      <c r="P276" s="2">
        <v>7</v>
      </c>
      <c r="Q276" s="2" t="s">
        <v>316</v>
      </c>
      <c r="R276" s="9" t="s">
        <v>308</v>
      </c>
      <c r="S276" s="13">
        <v>116.5</v>
      </c>
      <c r="T276" s="8">
        <v>39</v>
      </c>
      <c r="U276" s="9" t="s">
        <v>316</v>
      </c>
      <c r="V276" s="2" t="s">
        <v>306</v>
      </c>
      <c r="W276" s="2" t="s">
        <v>438</v>
      </c>
      <c r="X276" s="9">
        <v>100</v>
      </c>
      <c r="Y276" s="9">
        <v>0</v>
      </c>
      <c r="Z276" s="9"/>
      <c r="AA276" s="2">
        <f>Y276+Z276</f>
        <v>0</v>
      </c>
      <c r="AB276" s="9">
        <v>0</v>
      </c>
      <c r="AC276" s="9">
        <v>0</v>
      </c>
      <c r="AD276" s="2">
        <f>AB276+AC276</f>
        <v>0</v>
      </c>
      <c r="AE276" s="9">
        <f>AA276+AD276</f>
        <v>0</v>
      </c>
      <c r="AF276" s="9">
        <v>0</v>
      </c>
      <c r="AG276" s="9">
        <v>0</v>
      </c>
      <c r="AH276" s="9">
        <v>0</v>
      </c>
      <c r="AI276" s="9">
        <v>0</v>
      </c>
      <c r="AJ276" s="2">
        <f>AG276</f>
        <v>0</v>
      </c>
      <c r="AK276" s="9">
        <v>0</v>
      </c>
      <c r="AL276" s="9">
        <f>SUM(X276+AA276+AD276+AF276+AG276+AK276)</f>
        <v>100</v>
      </c>
      <c r="AM276" s="9" t="s">
        <v>460</v>
      </c>
      <c r="AN276" s="9" t="s">
        <v>681</v>
      </c>
      <c r="AQ276" s="2">
        <v>3</v>
      </c>
      <c r="AR276" s="2" t="s">
        <v>726</v>
      </c>
      <c r="AS276" s="9">
        <v>3</v>
      </c>
      <c r="AT276" s="9" t="s">
        <v>681</v>
      </c>
      <c r="AU276" s="9">
        <f>AVERAGE(791,448)</f>
        <v>619.5</v>
      </c>
      <c r="AV276" s="9">
        <v>3.07</v>
      </c>
      <c r="AW276" s="9">
        <v>2.3199999999999998</v>
      </c>
      <c r="AX276" s="9">
        <v>2.6949999999999998</v>
      </c>
      <c r="AY276" s="9" t="s">
        <v>1321</v>
      </c>
      <c r="AZ276" s="9" t="s">
        <v>1322</v>
      </c>
      <c r="BA276" s="16"/>
      <c r="BB276" s="17"/>
      <c r="BC276" s="17"/>
      <c r="BD276" s="17"/>
      <c r="BE276" s="17"/>
      <c r="BF276" s="17"/>
      <c r="BG276" s="17"/>
    </row>
    <row r="277" spans="1:59">
      <c r="A277" s="2" t="s">
        <v>257</v>
      </c>
      <c r="B277" s="2" t="s">
        <v>257</v>
      </c>
      <c r="C277" s="2" t="s">
        <v>257</v>
      </c>
      <c r="D277" s="2" t="s">
        <v>271</v>
      </c>
      <c r="E277" s="2" t="s">
        <v>272</v>
      </c>
      <c r="F277" s="2">
        <v>1</v>
      </c>
      <c r="G277" s="2">
        <f>LOG(O277)</f>
        <v>2.0906933639687324</v>
      </c>
      <c r="H277" s="2">
        <f t="shared" si="132"/>
        <v>4.1514136321399215</v>
      </c>
      <c r="I277" s="2">
        <f t="shared" si="138"/>
        <v>-1</v>
      </c>
      <c r="J277" s="2">
        <f>LOG(Y277)</f>
        <v>0.31175386105575426</v>
      </c>
      <c r="K277" s="2">
        <f>LOG(AG277)</f>
        <v>1.9726655922661109</v>
      </c>
      <c r="L277" s="2">
        <f>LOG(AS277)</f>
        <v>2.0162810245428306</v>
      </c>
      <c r="M277" s="2">
        <f>LOG(AX277)</f>
        <v>2.6572949359800719</v>
      </c>
      <c r="N277" s="2">
        <v>1</v>
      </c>
      <c r="O277" s="12">
        <v>123.22345000000001</v>
      </c>
      <c r="P277" s="2">
        <v>18</v>
      </c>
      <c r="Q277" s="9" t="s">
        <v>305</v>
      </c>
      <c r="R277" s="9" t="s">
        <v>308</v>
      </c>
      <c r="S277" s="8">
        <v>14171.428571428571</v>
      </c>
      <c r="T277" s="10">
        <v>7</v>
      </c>
      <c r="U277" s="9" t="s">
        <v>305</v>
      </c>
      <c r="V277" s="9" t="s">
        <v>312</v>
      </c>
      <c r="W277" s="9" t="s">
        <v>311</v>
      </c>
      <c r="X277" s="9">
        <v>0.1</v>
      </c>
      <c r="Y277" s="9">
        <f>AVERAGE(0.7,3.4)</f>
        <v>2.0499999999999998</v>
      </c>
      <c r="Z277" s="9">
        <f>AVERAGE(5,1.8)</f>
        <v>3.4</v>
      </c>
      <c r="AA277" s="2">
        <f>Y277+Z277</f>
        <v>5.4499999999999993</v>
      </c>
      <c r="AB277" s="9"/>
      <c r="AC277" s="9">
        <v>0.5</v>
      </c>
      <c r="AD277" s="2">
        <f>AB277+AC277</f>
        <v>0.5</v>
      </c>
      <c r="AE277" s="9">
        <f>AA277+AD277</f>
        <v>5.9499999999999993</v>
      </c>
      <c r="AF277" s="9"/>
      <c r="AG277" s="9">
        <v>93.9</v>
      </c>
      <c r="AH277" s="9">
        <f>AVERAGE(95,93.4)</f>
        <v>94.2</v>
      </c>
      <c r="AI277" s="9">
        <v>0</v>
      </c>
      <c r="AJ277" s="2">
        <f>AG277</f>
        <v>93.9</v>
      </c>
      <c r="AK277" s="9">
        <v>0</v>
      </c>
      <c r="AL277" s="9">
        <f>SUM(X277+AA277+AD277+AF277+AG277+AK277)</f>
        <v>99.95</v>
      </c>
      <c r="AM277" s="9" t="s">
        <v>495</v>
      </c>
      <c r="AN277" s="9" t="s">
        <v>682</v>
      </c>
      <c r="AO277" s="9">
        <f>AVERAGE(9.4,11.7,8.3,8.9)</f>
        <v>9.5750000000000011</v>
      </c>
      <c r="AP277" s="9" t="s">
        <v>1034</v>
      </c>
      <c r="AQ277" s="9">
        <f>AVERAGE(138.3,98,60.3,54.3,168.2)</f>
        <v>103.82000000000001</v>
      </c>
      <c r="AR277" s="9" t="s">
        <v>1035</v>
      </c>
      <c r="AS277" s="9">
        <v>103.82000000000001</v>
      </c>
      <c r="AT277" s="9" t="s">
        <v>1036</v>
      </c>
      <c r="AU277" s="9"/>
      <c r="AV277" s="9"/>
      <c r="AW277" s="9"/>
      <c r="AX277" s="9">
        <v>454.25</v>
      </c>
      <c r="AY277" s="9"/>
      <c r="AZ277" s="9" t="s">
        <v>1323</v>
      </c>
      <c r="BA277" s="17"/>
      <c r="BB277" s="17"/>
      <c r="BC277" s="17"/>
      <c r="BD277" s="17"/>
      <c r="BE277" s="17"/>
      <c r="BF277" s="17"/>
      <c r="BG277" s="17"/>
    </row>
    <row r="278" spans="1:59">
      <c r="A278" s="2" t="s">
        <v>258</v>
      </c>
      <c r="B278" s="2" t="s">
        <v>258</v>
      </c>
      <c r="C278" s="2" t="s">
        <v>258</v>
      </c>
      <c r="D278" s="2" t="s">
        <v>292</v>
      </c>
      <c r="E278" s="2" t="s">
        <v>272</v>
      </c>
      <c r="F278" s="2">
        <v>0</v>
      </c>
      <c r="G278" s="2">
        <f>LOG(O278)</f>
        <v>1.7965309709736703</v>
      </c>
      <c r="H278" s="2">
        <f t="shared" si="132"/>
        <v>3.8512583487190755</v>
      </c>
      <c r="I278" s="2">
        <f t="shared" si="138"/>
        <v>0</v>
      </c>
      <c r="J278" s="2">
        <f>LOG(Y278)</f>
        <v>1.4561381965502913</v>
      </c>
      <c r="K278" s="2">
        <f>LOG(AG278)</f>
        <v>1.7151673578484579</v>
      </c>
      <c r="L278" s="2">
        <f>LOG(AS278)</f>
        <v>1.2041199826559248</v>
      </c>
      <c r="M278" s="2">
        <f>LOG(AX278)</f>
        <v>0.98527674317929359</v>
      </c>
      <c r="N278" s="2">
        <v>1</v>
      </c>
      <c r="O278" s="12">
        <v>62.59375</v>
      </c>
      <c r="P278" s="2">
        <v>16</v>
      </c>
      <c r="Q278" s="9" t="s">
        <v>305</v>
      </c>
      <c r="R278" s="9" t="s">
        <v>308</v>
      </c>
      <c r="S278" s="10">
        <v>7100</v>
      </c>
      <c r="T278" s="8"/>
      <c r="U278" s="9" t="s">
        <v>305</v>
      </c>
      <c r="V278" s="2" t="s">
        <v>439</v>
      </c>
      <c r="W278" s="9"/>
      <c r="X278" s="9">
        <v>1</v>
      </c>
      <c r="Y278" s="9">
        <f>AVERAGE(13.4,27,41.52,32.42)</f>
        <v>28.585000000000001</v>
      </c>
      <c r="Z278" s="9">
        <f>AVERAGE(4,6.26,1.16)</f>
        <v>3.8066666666666666</v>
      </c>
      <c r="AA278" s="2">
        <f>Y278+Z278</f>
        <v>32.391666666666666</v>
      </c>
      <c r="AB278" s="9"/>
      <c r="AC278" s="9">
        <f>AVERAGE(16.4,7,5.71,8.15)</f>
        <v>9.3149999999999995</v>
      </c>
      <c r="AD278" s="2">
        <f>AB278+AC278</f>
        <v>9.3149999999999995</v>
      </c>
      <c r="AE278" s="9">
        <f>AA278+AD278</f>
        <v>41.706666666666663</v>
      </c>
      <c r="AF278" s="9"/>
      <c r="AG278" s="9">
        <v>51.900000000000006</v>
      </c>
      <c r="AH278" s="9">
        <f>AVERAGE(62.1,46.33,32,40.93)</f>
        <v>45.34</v>
      </c>
      <c r="AI278" s="9">
        <f>AVERAGE(2.1,1,9.7,15,5)</f>
        <v>6.56</v>
      </c>
      <c r="AJ278" s="2">
        <f>AG278</f>
        <v>51.900000000000006</v>
      </c>
      <c r="AK278" s="9">
        <v>5.4</v>
      </c>
      <c r="AL278" s="9">
        <f>SUM(X278+AA278+AD278+AF278+AG278+AK278)</f>
        <v>100.00666666666667</v>
      </c>
      <c r="AM278" s="9" t="s">
        <v>521</v>
      </c>
      <c r="AN278" s="9" t="s">
        <v>683</v>
      </c>
      <c r="AO278" s="9"/>
      <c r="AP278" s="9"/>
      <c r="AQ278" s="9">
        <v>16</v>
      </c>
      <c r="AR278" s="9"/>
      <c r="AS278" s="9">
        <v>16</v>
      </c>
      <c r="AT278" s="9" t="s">
        <v>1037</v>
      </c>
      <c r="AU278" s="9"/>
      <c r="AV278" s="9"/>
      <c r="AW278" s="9"/>
      <c r="AX278" s="2">
        <v>9.6666666666666661</v>
      </c>
      <c r="AY278" s="2" t="s">
        <v>1324</v>
      </c>
      <c r="AZ278" s="9" t="s">
        <v>1325</v>
      </c>
      <c r="BA278" s="17"/>
      <c r="BB278" s="17"/>
      <c r="BC278" s="17"/>
      <c r="BD278" s="17"/>
      <c r="BE278" s="17"/>
      <c r="BF278" s="17"/>
      <c r="BG278" s="17"/>
    </row>
    <row r="279" spans="1:59">
      <c r="A279" s="2" t="s">
        <v>259</v>
      </c>
      <c r="B279" s="2" t="s">
        <v>259</v>
      </c>
      <c r="C279" s="2" t="s">
        <v>259</v>
      </c>
      <c r="D279" s="2" t="s">
        <v>292</v>
      </c>
      <c r="E279" s="2" t="s">
        <v>272</v>
      </c>
      <c r="F279" s="2">
        <v>0</v>
      </c>
      <c r="I279" s="2">
        <f t="shared" si="138"/>
        <v>-0.22184874961635639</v>
      </c>
      <c r="J279" s="2">
        <f>LOG(Y279)</f>
        <v>1.5514499979728751</v>
      </c>
      <c r="K279" s="2">
        <f>LOG(AG279)</f>
        <v>1.5954962218255742</v>
      </c>
      <c r="N279" s="2">
        <v>1</v>
      </c>
      <c r="Q279" s="9"/>
      <c r="R279" s="9"/>
      <c r="S279" s="8"/>
      <c r="T279" s="8"/>
      <c r="U279" s="9"/>
      <c r="V279" s="2"/>
      <c r="W279" s="2"/>
      <c r="X279" s="9">
        <v>0.6</v>
      </c>
      <c r="Y279" s="9">
        <v>35.6</v>
      </c>
      <c r="Z279" s="9"/>
      <c r="AA279" s="2">
        <f>Y279+Z279</f>
        <v>35.6</v>
      </c>
      <c r="AB279" s="9"/>
      <c r="AC279" s="9">
        <v>6.4</v>
      </c>
      <c r="AD279" s="2">
        <f>AB279+AC279</f>
        <v>6.4</v>
      </c>
      <c r="AE279" s="9">
        <f>AA279+AD279</f>
        <v>42</v>
      </c>
      <c r="AF279" s="9"/>
      <c r="AG279" s="9">
        <v>39.4</v>
      </c>
      <c r="AH279" s="9"/>
      <c r="AI279" s="9"/>
      <c r="AK279" s="9">
        <v>18</v>
      </c>
      <c r="AL279" s="9">
        <f>SUM(X279+AA279+AD279+AF279+AG279+AK279)</f>
        <v>100</v>
      </c>
      <c r="AM279" s="9" t="s">
        <v>517</v>
      </c>
      <c r="AN279" s="9" t="s">
        <v>684</v>
      </c>
      <c r="AO279" s="9"/>
      <c r="AP279" s="9"/>
      <c r="AQ279" s="9"/>
      <c r="AR279" s="9"/>
      <c r="AS279" s="9"/>
      <c r="AT279" s="9"/>
      <c r="AU279" s="9"/>
      <c r="AV279" s="9"/>
      <c r="AW279" s="9"/>
      <c r="AZ279" s="9"/>
      <c r="BA279" s="17"/>
      <c r="BB279" s="17"/>
      <c r="BC279" s="17"/>
      <c r="BD279" s="17"/>
      <c r="BE279" s="17"/>
      <c r="BF279" s="17"/>
      <c r="BG279" s="17"/>
    </row>
    <row r="280" spans="1:59">
      <c r="A280" s="2" t="s">
        <v>260</v>
      </c>
      <c r="B280" s="2" t="s">
        <v>260</v>
      </c>
      <c r="C280" s="2" t="s">
        <v>260</v>
      </c>
      <c r="D280" s="2" t="s">
        <v>292</v>
      </c>
      <c r="E280" s="2" t="s">
        <v>272</v>
      </c>
      <c r="F280" s="2">
        <v>0</v>
      </c>
      <c r="G280" s="2">
        <f t="shared" ref="G280:G286" si="139">LOG(O280)</f>
        <v>1.766427199950185</v>
      </c>
      <c r="H280" s="2">
        <f t="shared" si="132"/>
        <v>3.7824493321709722</v>
      </c>
      <c r="L280" s="2">
        <f>LOG(AS280)</f>
        <v>1.5440680443502757</v>
      </c>
      <c r="M280" s="2">
        <f>LOG(AX280)</f>
        <v>1.3566631199368164</v>
      </c>
      <c r="N280" s="2">
        <v>1</v>
      </c>
      <c r="O280" s="12">
        <v>58.401930071904061</v>
      </c>
      <c r="P280" s="2">
        <v>50</v>
      </c>
      <c r="Q280" s="9" t="s">
        <v>305</v>
      </c>
      <c r="R280" s="9" t="s">
        <v>308</v>
      </c>
      <c r="S280" s="8">
        <v>6059.6750000000002</v>
      </c>
      <c r="T280" s="10">
        <v>16</v>
      </c>
      <c r="U280" s="9" t="s">
        <v>305</v>
      </c>
      <c r="V280" s="9" t="s">
        <v>312</v>
      </c>
      <c r="W280" s="9" t="s">
        <v>311</v>
      </c>
      <c r="AQ280" s="2">
        <v>35</v>
      </c>
      <c r="AR280" s="2" t="s">
        <v>1038</v>
      </c>
      <c r="AS280" s="2">
        <v>35</v>
      </c>
      <c r="AT280" s="9" t="s">
        <v>1039</v>
      </c>
      <c r="AU280" s="9"/>
      <c r="AX280" s="2">
        <v>22.733333333333334</v>
      </c>
      <c r="AY280" s="2" t="s">
        <v>1326</v>
      </c>
      <c r="AZ280" s="9" t="s">
        <v>1327</v>
      </c>
      <c r="BA280" s="16"/>
      <c r="BB280" s="16"/>
      <c r="BC280" s="16"/>
      <c r="BD280" s="16"/>
      <c r="BE280" s="16"/>
      <c r="BF280" s="16"/>
      <c r="BG280" s="16"/>
    </row>
    <row r="281" spans="1:59">
      <c r="A281" s="2" t="s">
        <v>261</v>
      </c>
      <c r="B281" s="2" t="s">
        <v>261</v>
      </c>
      <c r="C281" s="2" t="s">
        <v>261</v>
      </c>
      <c r="D281" s="2" t="s">
        <v>292</v>
      </c>
      <c r="E281" s="2" t="s">
        <v>272</v>
      </c>
      <c r="F281" s="2">
        <v>0</v>
      </c>
      <c r="G281" s="2">
        <f t="shared" si="139"/>
        <v>1.9084850188786497</v>
      </c>
      <c r="I281" s="2">
        <f>LOG(X281)</f>
        <v>-0.3010299956639812</v>
      </c>
      <c r="J281" s="2">
        <f>LOG(Y281)</f>
        <v>1.2795148535261855</v>
      </c>
      <c r="K281" s="2">
        <f>LOG(AG281)</f>
        <v>1.8265067216642272</v>
      </c>
      <c r="N281" s="2">
        <v>1</v>
      </c>
      <c r="O281" s="12">
        <v>81</v>
      </c>
      <c r="P281" s="2">
        <v>1</v>
      </c>
      <c r="Q281" s="9" t="s">
        <v>305</v>
      </c>
      <c r="R281" s="9" t="s">
        <v>308</v>
      </c>
      <c r="S281" s="10"/>
      <c r="T281" s="10"/>
      <c r="U281" s="9"/>
      <c r="V281" s="9"/>
      <c r="W281" s="9"/>
      <c r="X281" s="2">
        <v>0.5</v>
      </c>
      <c r="Y281" s="2">
        <f>AVERAGE(10.9,29,17.2)</f>
        <v>19.033333333333331</v>
      </c>
      <c r="Z281" s="2">
        <f>AVERAGE(14.2,0)</f>
        <v>7.1</v>
      </c>
      <c r="AA281" s="2">
        <f>Y281+Z281</f>
        <v>26.133333333333333</v>
      </c>
      <c r="AC281" s="2">
        <f>AVERAGE(6.3,5,7.5)</f>
        <v>6.2666666666666666</v>
      </c>
      <c r="AD281" s="2">
        <f>AB281+AC281</f>
        <v>6.2666666666666666</v>
      </c>
      <c r="AE281" s="9">
        <f>AA281+AD281</f>
        <v>32.4</v>
      </c>
      <c r="AG281" s="2">
        <v>67.066666666666663</v>
      </c>
      <c r="AH281" s="2">
        <f>AVERAGE(86.7,38.9,40.5)</f>
        <v>55.366666666666667</v>
      </c>
      <c r="AI281" s="2">
        <f>AVERAGE(38,13.9,0)</f>
        <v>17.3</v>
      </c>
      <c r="AJ281" s="2">
        <f>AG281</f>
        <v>67.066666666666663</v>
      </c>
      <c r="AK281" s="2">
        <v>0</v>
      </c>
      <c r="AL281" s="9">
        <f>SUM(X281+AA281+AD281+AF281+AG281+AK281)</f>
        <v>99.966666666666669</v>
      </c>
      <c r="AM281" s="9" t="s">
        <v>489</v>
      </c>
      <c r="AN281" s="2" t="s">
        <v>657</v>
      </c>
      <c r="AT281" s="9"/>
      <c r="AU281" s="9"/>
      <c r="AZ281" s="9"/>
      <c r="BA281" s="16"/>
      <c r="BB281" s="16"/>
      <c r="BC281" s="16"/>
      <c r="BD281" s="16"/>
      <c r="BE281" s="16"/>
      <c r="BF281" s="16"/>
      <c r="BG281" s="16"/>
    </row>
    <row r="282" spans="1:59">
      <c r="A282" s="2" t="s">
        <v>262</v>
      </c>
      <c r="B282" s="2" t="s">
        <v>262</v>
      </c>
      <c r="C282" s="2" t="s">
        <v>262</v>
      </c>
      <c r="D282" s="2" t="s">
        <v>292</v>
      </c>
      <c r="E282" s="2" t="s">
        <v>272</v>
      </c>
      <c r="F282" s="2">
        <v>0</v>
      </c>
      <c r="G282" s="2">
        <f t="shared" si="139"/>
        <v>1.9100905455940682</v>
      </c>
      <c r="H282" s="2">
        <f t="shared" si="132"/>
        <v>3.9777236052888476</v>
      </c>
      <c r="L282" s="2">
        <f t="shared" ref="L282:L290" si="140">LOG(AS282)</f>
        <v>0.94448267215016868</v>
      </c>
      <c r="M282" s="2">
        <f t="shared" ref="M282:M290" si="141">LOG(AX282)</f>
        <v>1.4471580313422192</v>
      </c>
      <c r="N282" s="2">
        <v>1</v>
      </c>
      <c r="O282" s="7">
        <v>81.3</v>
      </c>
      <c r="P282" s="8"/>
      <c r="Q282" s="11" t="s">
        <v>440</v>
      </c>
      <c r="R282" s="9" t="s">
        <v>306</v>
      </c>
      <c r="S282" s="10">
        <v>9500</v>
      </c>
      <c r="T282" s="10">
        <v>1</v>
      </c>
      <c r="U282" s="9" t="s">
        <v>305</v>
      </c>
      <c r="V282" s="2" t="s">
        <v>306</v>
      </c>
      <c r="W282" s="2" t="s">
        <v>414</v>
      </c>
      <c r="AQ282" s="2">
        <f>AVERAGE(7,9,11,7,10)</f>
        <v>8.8000000000000007</v>
      </c>
      <c r="AR282" s="2" t="s">
        <v>1040</v>
      </c>
      <c r="AS282" s="2">
        <v>8.8000000000000007</v>
      </c>
      <c r="AT282" s="9" t="s">
        <v>1041</v>
      </c>
      <c r="AU282" s="9"/>
      <c r="AX282" s="2">
        <v>28</v>
      </c>
      <c r="AZ282" s="2" t="s">
        <v>1328</v>
      </c>
      <c r="BA282" s="16"/>
      <c r="BB282" s="16"/>
      <c r="BC282" s="16"/>
      <c r="BD282" s="16"/>
      <c r="BE282" s="16"/>
      <c r="BF282" s="16"/>
      <c r="BG282" s="16"/>
    </row>
    <row r="283" spans="1:59">
      <c r="A283" s="2" t="s">
        <v>263</v>
      </c>
      <c r="B283" s="2" t="s">
        <v>263</v>
      </c>
      <c r="C283" s="2" t="s">
        <v>263</v>
      </c>
      <c r="D283" s="2" t="s">
        <v>292</v>
      </c>
      <c r="E283" s="2" t="s">
        <v>272</v>
      </c>
      <c r="F283" s="2">
        <v>0</v>
      </c>
      <c r="G283" s="2">
        <f t="shared" si="139"/>
        <v>1.8920946026904804</v>
      </c>
      <c r="H283" s="2">
        <f t="shared" si="132"/>
        <v>4.0492180226701819</v>
      </c>
      <c r="I283" s="2">
        <f>LOG(X283)</f>
        <v>0.11058971029924898</v>
      </c>
      <c r="J283" s="2">
        <f>LOG(Y283)</f>
        <v>1.3914056320485413</v>
      </c>
      <c r="K283" s="2">
        <f t="shared" ref="K283:K290" si="142">LOG(AG283)</f>
        <v>1.6876775649737927</v>
      </c>
      <c r="L283" s="2">
        <f t="shared" si="140"/>
        <v>1.0746597404876372</v>
      </c>
      <c r="M283" s="2">
        <f t="shared" si="141"/>
        <v>1.8109490279235856</v>
      </c>
      <c r="N283" s="2">
        <v>1</v>
      </c>
      <c r="O283" s="12">
        <v>78</v>
      </c>
      <c r="P283" s="2">
        <v>3</v>
      </c>
      <c r="Q283" s="9" t="s">
        <v>305</v>
      </c>
      <c r="R283" s="9" t="s">
        <v>308</v>
      </c>
      <c r="S283" s="10">
        <v>11200</v>
      </c>
      <c r="T283" s="10">
        <v>3</v>
      </c>
      <c r="U283" s="9" t="s">
        <v>305</v>
      </c>
      <c r="V283" s="2" t="s">
        <v>306</v>
      </c>
      <c r="W283" s="2" t="s">
        <v>414</v>
      </c>
      <c r="X283" s="2">
        <v>1.29</v>
      </c>
      <c r="Y283" s="2">
        <f>AVERAGE(25.1,33.16,15.62)</f>
        <v>24.626666666666665</v>
      </c>
      <c r="Z283" s="2">
        <f>18.61-0.6</f>
        <v>18.009999999999998</v>
      </c>
      <c r="AA283" s="2">
        <f t="shared" ref="AA283:AA290" si="143">Y283+Z283</f>
        <v>42.636666666666663</v>
      </c>
      <c r="AC283" s="2">
        <f>AVERAGE(9.3,7.17,2.98)</f>
        <v>6.4833333333333334</v>
      </c>
      <c r="AD283" s="2">
        <f>AB283+AC283</f>
        <v>6.4833333333333334</v>
      </c>
      <c r="AE283" s="9">
        <f t="shared" ref="AE283:AE290" si="144">AA283+AD283</f>
        <v>49.12</v>
      </c>
      <c r="AF283" s="2">
        <v>0.91</v>
      </c>
      <c r="AG283" s="2">
        <v>48.716666666666669</v>
      </c>
      <c r="AH283" s="2">
        <f>AVERAGE(25.5,47.04,44.07)</f>
        <v>38.869999999999997</v>
      </c>
      <c r="AI283" s="2">
        <f>AVERAGE(20.3,5.03,4.21)</f>
        <v>9.8466666666666676</v>
      </c>
      <c r="AJ283" s="2">
        <f t="shared" ref="AJ283:AJ290" si="145">AG283</f>
        <v>48.716666666666669</v>
      </c>
      <c r="AK283" s="2">
        <v>0</v>
      </c>
      <c r="AL283" s="9">
        <f t="shared" ref="AL283:AL290" si="146">SUM(X283+AA283+AD283+AF283+AG283+AK283)</f>
        <v>100.03666666666666</v>
      </c>
      <c r="AM283" s="9" t="s">
        <v>482</v>
      </c>
      <c r="AN283" s="9" t="s">
        <v>685</v>
      </c>
      <c r="AQ283" s="2">
        <f>AVERAGE(18.33,17,8.9,10,7,7.6,14.3)</f>
        <v>11.875714285714285</v>
      </c>
      <c r="AR283" s="2" t="s">
        <v>1042</v>
      </c>
      <c r="AS283" s="2">
        <v>11.875714285714285</v>
      </c>
      <c r="AT283" s="9" t="s">
        <v>1043</v>
      </c>
      <c r="AU283" s="9"/>
      <c r="AX283" s="2">
        <v>64.706666666666663</v>
      </c>
      <c r="AY283" s="2" t="s">
        <v>1329</v>
      </c>
      <c r="AZ283" s="9" t="s">
        <v>1330</v>
      </c>
      <c r="BA283" s="16"/>
      <c r="BB283" s="16"/>
      <c r="BC283" s="16"/>
      <c r="BD283" s="16"/>
      <c r="BE283" s="16"/>
      <c r="BF283" s="16"/>
      <c r="BG283" s="16"/>
    </row>
    <row r="284" spans="1:59">
      <c r="A284" s="2" t="s">
        <v>264</v>
      </c>
      <c r="B284" s="2" t="s">
        <v>264</v>
      </c>
      <c r="C284" s="2" t="s">
        <v>264</v>
      </c>
      <c r="D284" s="2" t="s">
        <v>292</v>
      </c>
      <c r="E284" s="2" t="s">
        <v>272</v>
      </c>
      <c r="F284" s="2">
        <v>0</v>
      </c>
      <c r="G284" s="2">
        <f t="shared" si="139"/>
        <v>1.7730769551267618</v>
      </c>
      <c r="H284" s="2">
        <f t="shared" si="132"/>
        <v>3.8302535346409559</v>
      </c>
      <c r="I284" s="2">
        <f>LOG(X284)</f>
        <v>-0.6020599913279624</v>
      </c>
      <c r="J284" s="2">
        <f>LOG(Y284)</f>
        <v>1.5786392099680724</v>
      </c>
      <c r="K284" s="2">
        <f t="shared" si="142"/>
        <v>1.725094521081469</v>
      </c>
      <c r="L284" s="2">
        <f t="shared" si="140"/>
        <v>1.1303337684950061</v>
      </c>
      <c r="M284" s="2">
        <f t="shared" si="141"/>
        <v>1.4008256969095259</v>
      </c>
      <c r="N284" s="2">
        <v>1</v>
      </c>
      <c r="O284" s="12">
        <v>59.303039772334834</v>
      </c>
      <c r="P284" s="2">
        <v>31</v>
      </c>
      <c r="Q284" s="9" t="s">
        <v>305</v>
      </c>
      <c r="R284" s="9" t="s">
        <v>308</v>
      </c>
      <c r="S284" s="8">
        <v>6764.7777777777774</v>
      </c>
      <c r="T284" s="10">
        <v>18</v>
      </c>
      <c r="U284" s="9" t="s">
        <v>305</v>
      </c>
      <c r="V284" s="9" t="s">
        <v>312</v>
      </c>
      <c r="W284" s="9" t="s">
        <v>311</v>
      </c>
      <c r="X284" s="9">
        <v>0.25</v>
      </c>
      <c r="Y284" s="9">
        <f>AVERAGE(35,47.3)-3-0.25</f>
        <v>37.9</v>
      </c>
      <c r="Z284" s="9">
        <v>3</v>
      </c>
      <c r="AA284" s="2">
        <f t="shared" si="143"/>
        <v>40.9</v>
      </c>
      <c r="AB284" s="9"/>
      <c r="AC284" s="9">
        <f>AVERAGE(7,4.5)</f>
        <v>5.75</v>
      </c>
      <c r="AD284" s="2">
        <f>AB284+AC284</f>
        <v>5.75</v>
      </c>
      <c r="AE284" s="9">
        <f t="shared" si="144"/>
        <v>46.65</v>
      </c>
      <c r="AF284" s="9"/>
      <c r="AG284" s="9">
        <v>53.1</v>
      </c>
      <c r="AH284" s="9">
        <v>35.4</v>
      </c>
      <c r="AI284" s="9">
        <v>22.6</v>
      </c>
      <c r="AJ284" s="2">
        <f t="shared" si="145"/>
        <v>53.1</v>
      </c>
      <c r="AK284" s="9">
        <v>0</v>
      </c>
      <c r="AL284" s="9">
        <f t="shared" si="146"/>
        <v>100</v>
      </c>
      <c r="AM284" s="9" t="s">
        <v>489</v>
      </c>
      <c r="AN284" s="9" t="s">
        <v>686</v>
      </c>
      <c r="AO284" s="9"/>
      <c r="AP284" s="9"/>
      <c r="AQ284" s="9">
        <f>AVERAGE(13.2,17,10.3)</f>
        <v>13.5</v>
      </c>
      <c r="AR284" s="9"/>
      <c r="AS284" s="9">
        <v>13.5</v>
      </c>
      <c r="AT284" s="9" t="s">
        <v>1044</v>
      </c>
      <c r="AU284" s="9">
        <f>AVERAGE(559,950,760)</f>
        <v>756.33333333333337</v>
      </c>
      <c r="AV284" s="9"/>
      <c r="AW284" s="9"/>
      <c r="AX284" s="9">
        <v>25.166666666666668</v>
      </c>
      <c r="AY284" s="9" t="s">
        <v>1331</v>
      </c>
      <c r="AZ284" s="9" t="s">
        <v>641</v>
      </c>
      <c r="BA284" s="17"/>
      <c r="BB284" s="17"/>
      <c r="BC284" s="17"/>
      <c r="BD284" s="17"/>
      <c r="BE284" s="17"/>
      <c r="BF284" s="17"/>
      <c r="BG284" s="17"/>
    </row>
    <row r="285" spans="1:59">
      <c r="A285" s="2" t="s">
        <v>265</v>
      </c>
      <c r="B285" s="2" t="s">
        <v>265</v>
      </c>
      <c r="C285" s="2" t="s">
        <v>265</v>
      </c>
      <c r="D285" s="2" t="s">
        <v>292</v>
      </c>
      <c r="E285" s="2" t="s">
        <v>272</v>
      </c>
      <c r="F285" s="2">
        <v>0</v>
      </c>
      <c r="G285" s="2">
        <f t="shared" si="139"/>
        <v>1.846349807162742</v>
      </c>
      <c r="H285" s="2">
        <f t="shared" si="132"/>
        <v>3.8562454007900544</v>
      </c>
      <c r="J285" s="2">
        <f t="shared" ref="J285:J290" si="147">LOG(Y285)</f>
        <v>1.4005379893919461</v>
      </c>
      <c r="K285" s="2">
        <f t="shared" si="142"/>
        <v>1.7209857441537391</v>
      </c>
      <c r="L285" s="2">
        <f t="shared" si="140"/>
        <v>1.0161973535124391</v>
      </c>
      <c r="M285" s="2">
        <f t="shared" si="141"/>
        <v>1.8603380065709938</v>
      </c>
      <c r="N285" s="2">
        <v>1</v>
      </c>
      <c r="O285" s="12">
        <v>70.202052073822728</v>
      </c>
      <c r="P285" s="2">
        <v>26</v>
      </c>
      <c r="Q285" s="9" t="s">
        <v>305</v>
      </c>
      <c r="R285" s="9" t="s">
        <v>308</v>
      </c>
      <c r="S285" s="8">
        <v>7182</v>
      </c>
      <c r="T285" s="10">
        <v>3</v>
      </c>
      <c r="U285" s="9" t="s">
        <v>305</v>
      </c>
      <c r="V285" s="9" t="s">
        <v>312</v>
      </c>
      <c r="W285" s="9" t="s">
        <v>311</v>
      </c>
      <c r="X285" s="2">
        <v>0</v>
      </c>
      <c r="Y285" s="2">
        <f>AVERAGE(23.2+6.7,24.4)-2</f>
        <v>25.15</v>
      </c>
      <c r="Z285" s="2">
        <f>23.2-1</f>
        <v>22.2</v>
      </c>
      <c r="AA285" s="2">
        <f t="shared" si="143"/>
        <v>47.349999999999994</v>
      </c>
      <c r="AD285" s="2">
        <v>0</v>
      </c>
      <c r="AE285" s="9">
        <f t="shared" si="144"/>
        <v>47.349999999999994</v>
      </c>
      <c r="AG285" s="2">
        <v>52.6</v>
      </c>
      <c r="AH285" s="2">
        <v>48.5</v>
      </c>
      <c r="AI285" s="2">
        <v>0.1</v>
      </c>
      <c r="AJ285" s="2">
        <f t="shared" si="145"/>
        <v>52.6</v>
      </c>
      <c r="AK285" s="2">
        <v>0</v>
      </c>
      <c r="AL285" s="9">
        <f t="shared" si="146"/>
        <v>99.949999999999989</v>
      </c>
      <c r="AM285" s="2" t="s">
        <v>489</v>
      </c>
      <c r="AN285" s="2" t="s">
        <v>687</v>
      </c>
      <c r="AQ285" s="2">
        <f>AVERAGE(12.2,9,15.4,6.5,8.8)</f>
        <v>10.38</v>
      </c>
      <c r="AR285" s="2" t="s">
        <v>1045</v>
      </c>
      <c r="AS285" s="2">
        <v>10.38</v>
      </c>
      <c r="AT285" s="2" t="s">
        <v>657</v>
      </c>
      <c r="AX285" s="2">
        <v>72.5</v>
      </c>
      <c r="AZ285" s="2" t="s">
        <v>1332</v>
      </c>
      <c r="BA285" s="16"/>
      <c r="BB285" s="16"/>
      <c r="BC285" s="16"/>
      <c r="BD285" s="16"/>
      <c r="BE285" s="16"/>
      <c r="BF285" s="16"/>
      <c r="BG285" s="16"/>
    </row>
    <row r="286" spans="1:59">
      <c r="A286" s="2" t="s">
        <v>266</v>
      </c>
      <c r="B286" s="2" t="s">
        <v>266</v>
      </c>
      <c r="C286" s="2" t="s">
        <v>266</v>
      </c>
      <c r="D286" s="2" t="s">
        <v>292</v>
      </c>
      <c r="E286" s="2" t="s">
        <v>272</v>
      </c>
      <c r="F286" s="2">
        <v>0</v>
      </c>
      <c r="G286" s="2">
        <f t="shared" si="139"/>
        <v>1.9883610471215782</v>
      </c>
      <c r="H286" s="2">
        <f t="shared" si="132"/>
        <v>3.993876914941211</v>
      </c>
      <c r="J286" s="2">
        <f t="shared" si="147"/>
        <v>1.4141373621844766</v>
      </c>
      <c r="K286" s="2">
        <f t="shared" si="142"/>
        <v>1.7024305364455252</v>
      </c>
      <c r="L286" s="2">
        <f t="shared" si="140"/>
        <v>0.92142634101526555</v>
      </c>
      <c r="M286" s="2">
        <f t="shared" si="141"/>
        <v>1.6334684555795864</v>
      </c>
      <c r="N286" s="2">
        <v>1</v>
      </c>
      <c r="O286" s="12">
        <v>97.355624536722431</v>
      </c>
      <c r="P286" s="2">
        <v>11</v>
      </c>
      <c r="Q286" s="9" t="s">
        <v>305</v>
      </c>
      <c r="R286" s="9" t="s">
        <v>308</v>
      </c>
      <c r="S286" s="13">
        <v>9860</v>
      </c>
      <c r="T286" s="8">
        <v>5</v>
      </c>
      <c r="U286" s="9" t="s">
        <v>305</v>
      </c>
      <c r="V286" s="2" t="s">
        <v>307</v>
      </c>
      <c r="W286" s="2" t="s">
        <v>415</v>
      </c>
      <c r="X286" s="2">
        <v>0</v>
      </c>
      <c r="Y286" s="2">
        <f>AVERAGE(27.9,24)</f>
        <v>25.95</v>
      </c>
      <c r="Z286" s="2">
        <v>9</v>
      </c>
      <c r="AA286" s="2">
        <f t="shared" si="143"/>
        <v>34.950000000000003</v>
      </c>
      <c r="AC286" s="2">
        <f>AVERAGE(18.9, 7)</f>
        <v>12.95</v>
      </c>
      <c r="AD286" s="2">
        <f>AB286+AC286</f>
        <v>12.95</v>
      </c>
      <c r="AE286" s="9">
        <f t="shared" si="144"/>
        <v>47.900000000000006</v>
      </c>
      <c r="AG286" s="2">
        <v>50.4</v>
      </c>
      <c r="AH286" s="2">
        <f>AVERAGE(14.4,11)</f>
        <v>12.7</v>
      </c>
      <c r="AI286" s="2">
        <f>AVERAGE(25.2,42)</f>
        <v>33.6</v>
      </c>
      <c r="AJ286" s="2">
        <f t="shared" si="145"/>
        <v>50.4</v>
      </c>
      <c r="AK286" s="2">
        <v>1.7</v>
      </c>
      <c r="AL286" s="9">
        <f t="shared" si="146"/>
        <v>100.00000000000001</v>
      </c>
      <c r="AM286" s="9" t="s">
        <v>489</v>
      </c>
      <c r="AN286" s="9" t="s">
        <v>688</v>
      </c>
      <c r="AQ286" s="2">
        <f>AVERAGE(9.9,8.58,7.9,7)</f>
        <v>8.3450000000000006</v>
      </c>
      <c r="AR286" s="2" t="s">
        <v>1046</v>
      </c>
      <c r="AS286" s="2">
        <v>8.3450000000000006</v>
      </c>
      <c r="AT286" s="9" t="s">
        <v>1047</v>
      </c>
      <c r="AU286" s="9">
        <f>AVERAGE(366,322)</f>
        <v>344</v>
      </c>
      <c r="AX286" s="2">
        <v>43</v>
      </c>
      <c r="AY286" s="2" t="s">
        <v>1333</v>
      </c>
      <c r="AZ286" s="9" t="s">
        <v>641</v>
      </c>
      <c r="BA286" s="16"/>
      <c r="BB286" s="16"/>
      <c r="BC286" s="16"/>
      <c r="BD286" s="16"/>
      <c r="BE286" s="16"/>
      <c r="BF286" s="16"/>
      <c r="BG286" s="16"/>
    </row>
    <row r="287" spans="1:59">
      <c r="A287" s="2" t="s">
        <v>267</v>
      </c>
      <c r="B287" s="2" t="s">
        <v>267</v>
      </c>
      <c r="C287" s="2" t="s">
        <v>267</v>
      </c>
      <c r="D287" s="2" t="s">
        <v>292</v>
      </c>
      <c r="E287" s="2" t="s">
        <v>272</v>
      </c>
      <c r="F287" s="2">
        <v>0</v>
      </c>
      <c r="H287" s="2">
        <f t="shared" si="132"/>
        <v>3.893206753059848</v>
      </c>
      <c r="I287" s="2">
        <f>LOG(X287)</f>
        <v>-0.6020599913279624</v>
      </c>
      <c r="J287" s="2">
        <f t="shared" si="147"/>
        <v>0.83250891270623628</v>
      </c>
      <c r="K287" s="2">
        <f t="shared" si="142"/>
        <v>1.9412629093189497</v>
      </c>
      <c r="L287" s="2">
        <f t="shared" si="140"/>
        <v>0.81481816005559338</v>
      </c>
      <c r="M287" s="2">
        <f t="shared" si="141"/>
        <v>1.6669857183296606</v>
      </c>
      <c r="N287" s="2">
        <v>1</v>
      </c>
      <c r="Q287" s="2"/>
      <c r="R287" s="2"/>
      <c r="S287" s="10">
        <v>7820</v>
      </c>
      <c r="T287" s="10">
        <v>6</v>
      </c>
      <c r="U287" s="2" t="s">
        <v>326</v>
      </c>
      <c r="V287" s="2" t="s">
        <v>441</v>
      </c>
      <c r="W287" s="2"/>
      <c r="X287" s="2">
        <v>0.25</v>
      </c>
      <c r="Y287" s="2">
        <f>AVERAGE(6.8)</f>
        <v>6.8</v>
      </c>
      <c r="Z287" s="2">
        <f>AVERAGE(0.9,0.4)</f>
        <v>0.65</v>
      </c>
      <c r="AA287" s="2">
        <f t="shared" si="143"/>
        <v>7.45</v>
      </c>
      <c r="AC287" s="2">
        <f>AVERAGE(2.4,1.4)</f>
        <v>1.9</v>
      </c>
      <c r="AD287" s="2">
        <f>AB287+AC287</f>
        <v>1.9</v>
      </c>
      <c r="AE287" s="9">
        <f t="shared" si="144"/>
        <v>9.35</v>
      </c>
      <c r="AG287" s="2">
        <v>87.35</v>
      </c>
      <c r="AH287" s="2">
        <f>AVERAGE(74.9,79.1)</f>
        <v>77</v>
      </c>
      <c r="AI287" s="2">
        <f>AVERAGE(8.4,12.3)</f>
        <v>10.350000000000001</v>
      </c>
      <c r="AJ287" s="2">
        <f t="shared" si="145"/>
        <v>87.35</v>
      </c>
      <c r="AK287" s="2">
        <v>3</v>
      </c>
      <c r="AL287" s="9">
        <f t="shared" si="146"/>
        <v>99.949999999999989</v>
      </c>
      <c r="AM287" s="9" t="s">
        <v>489</v>
      </c>
      <c r="AN287" s="2" t="s">
        <v>657</v>
      </c>
      <c r="AQ287" s="2">
        <f>AVERAGE(5.3,9.12,5.1,7.7, 10.9,7.58,)</f>
        <v>6.5285714285714276</v>
      </c>
      <c r="AR287" s="2" t="s">
        <v>1048</v>
      </c>
      <c r="AS287" s="2">
        <v>6.5285714285714276</v>
      </c>
      <c r="AT287" s="2" t="s">
        <v>657</v>
      </c>
      <c r="AU287" s="2">
        <v>1000</v>
      </c>
      <c r="AX287" s="2">
        <v>46.45</v>
      </c>
      <c r="AY287" s="2" t="s">
        <v>1334</v>
      </c>
      <c r="AZ287" s="2" t="s">
        <v>657</v>
      </c>
      <c r="BA287" s="16"/>
      <c r="BB287" s="16"/>
      <c r="BC287" s="16"/>
      <c r="BD287" s="16"/>
      <c r="BE287" s="16"/>
      <c r="BF287" s="16"/>
      <c r="BG287" s="16"/>
    </row>
    <row r="288" spans="1:59">
      <c r="A288" s="2" t="s">
        <v>268</v>
      </c>
      <c r="B288" s="2" t="s">
        <v>268</v>
      </c>
      <c r="C288" s="2" t="s">
        <v>268</v>
      </c>
      <c r="D288" s="2" t="s">
        <v>292</v>
      </c>
      <c r="E288" s="2" t="s">
        <v>272</v>
      </c>
      <c r="F288" s="2" t="s">
        <v>1345</v>
      </c>
      <c r="G288" s="2">
        <f>LOG(O288)</f>
        <v>1.7775191605826295</v>
      </c>
      <c r="H288" s="2">
        <f t="shared" si="132"/>
        <v>3.754654069255432</v>
      </c>
      <c r="J288" s="2">
        <f t="shared" si="147"/>
        <v>1.4471580313422192</v>
      </c>
      <c r="K288" s="2">
        <f t="shared" si="142"/>
        <v>1.7781512503836436</v>
      </c>
      <c r="L288" s="2">
        <f t="shared" si="140"/>
        <v>0.97619708532737526</v>
      </c>
      <c r="M288" s="2">
        <f t="shared" si="141"/>
        <v>1.5637420582957076</v>
      </c>
      <c r="N288" s="2">
        <v>1</v>
      </c>
      <c r="O288" s="12">
        <v>59.912737085201698</v>
      </c>
      <c r="P288" s="2">
        <v>7</v>
      </c>
      <c r="Q288" s="9" t="s">
        <v>305</v>
      </c>
      <c r="R288" s="9" t="s">
        <v>308</v>
      </c>
      <c r="S288" s="8">
        <v>5684</v>
      </c>
      <c r="T288" s="10">
        <v>9</v>
      </c>
      <c r="U288" s="9" t="s">
        <v>305</v>
      </c>
      <c r="V288" s="20" t="s">
        <v>442</v>
      </c>
      <c r="W288" s="9"/>
      <c r="X288" s="9">
        <v>0</v>
      </c>
      <c r="Y288" s="9">
        <v>28</v>
      </c>
      <c r="Z288" s="9"/>
      <c r="AA288" s="2">
        <f t="shared" si="143"/>
        <v>28</v>
      </c>
      <c r="AB288" s="9"/>
      <c r="AC288" s="9">
        <v>12</v>
      </c>
      <c r="AD288" s="2">
        <f>AB288+AC288</f>
        <v>12</v>
      </c>
      <c r="AE288" s="9">
        <f t="shared" si="144"/>
        <v>40</v>
      </c>
      <c r="AF288" s="9"/>
      <c r="AG288" s="9">
        <v>60</v>
      </c>
      <c r="AH288" s="9">
        <v>20</v>
      </c>
      <c r="AI288" s="9">
        <v>40</v>
      </c>
      <c r="AJ288" s="2">
        <f t="shared" si="145"/>
        <v>60</v>
      </c>
      <c r="AK288" s="9">
        <v>0</v>
      </c>
      <c r="AL288" s="9">
        <f t="shared" si="146"/>
        <v>100</v>
      </c>
      <c r="AM288" s="9" t="s">
        <v>460</v>
      </c>
      <c r="AN288" s="9" t="s">
        <v>689</v>
      </c>
      <c r="AO288" s="9"/>
      <c r="AP288" s="9"/>
      <c r="AQ288" s="9">
        <f>AVERAGE(11,8.5,8.9)</f>
        <v>9.4666666666666668</v>
      </c>
      <c r="AR288" s="9" t="s">
        <v>1049</v>
      </c>
      <c r="AS288" s="9">
        <v>9.4666666666666668</v>
      </c>
      <c r="AT288" s="9" t="s">
        <v>1050</v>
      </c>
      <c r="AU288" s="9">
        <v>624</v>
      </c>
      <c r="AV288" s="9"/>
      <c r="AW288" s="9"/>
      <c r="AX288" s="9">
        <v>36.622000000000007</v>
      </c>
      <c r="AY288" s="9" t="s">
        <v>1335</v>
      </c>
      <c r="AZ288" s="9" t="s">
        <v>1050</v>
      </c>
      <c r="BA288" s="17"/>
      <c r="BB288" s="17"/>
      <c r="BC288" s="17"/>
      <c r="BD288" s="17"/>
      <c r="BE288" s="17"/>
      <c r="BF288" s="17"/>
      <c r="BG288" s="17"/>
    </row>
    <row r="289" spans="1:59">
      <c r="A289" s="2" t="s">
        <v>1384</v>
      </c>
      <c r="B289" s="2" t="s">
        <v>1419</v>
      </c>
      <c r="C289" s="2" t="s">
        <v>269</v>
      </c>
      <c r="E289" s="2" t="s">
        <v>294</v>
      </c>
      <c r="F289" s="2">
        <v>0</v>
      </c>
      <c r="G289" s="2">
        <f>LOG(O289)</f>
        <v>1.4744373482120061</v>
      </c>
      <c r="H289" s="2">
        <f t="shared" si="132"/>
        <v>3.5474054596674898</v>
      </c>
      <c r="J289" s="2">
        <f t="shared" si="147"/>
        <v>1.9161906599805376</v>
      </c>
      <c r="K289" s="2">
        <f t="shared" si="142"/>
        <v>1.0549958615291415</v>
      </c>
      <c r="L289" s="2">
        <f t="shared" si="140"/>
        <v>0.74036268949424389</v>
      </c>
      <c r="M289" s="2">
        <f t="shared" si="141"/>
        <v>1.6141059109580307</v>
      </c>
      <c r="N289" s="2">
        <v>1</v>
      </c>
      <c r="O289" s="12">
        <v>29.815174000000003</v>
      </c>
      <c r="P289" s="2">
        <v>10</v>
      </c>
      <c r="Q289" s="2" t="s">
        <v>316</v>
      </c>
      <c r="R289" s="9" t="s">
        <v>308</v>
      </c>
      <c r="S289" s="10">
        <v>3527</v>
      </c>
      <c r="T289" s="10">
        <v>3</v>
      </c>
      <c r="U289" s="9" t="s">
        <v>316</v>
      </c>
      <c r="V289" s="2" t="s">
        <v>443</v>
      </c>
      <c r="W289" s="2"/>
      <c r="X289" s="2">
        <v>0</v>
      </c>
      <c r="Y289" s="2">
        <f>AVERAGE(91,73.9)</f>
        <v>82.45</v>
      </c>
      <c r="AA289" s="2">
        <f t="shared" si="143"/>
        <v>82.45</v>
      </c>
      <c r="AC289" s="2">
        <f>AVERAGE(5.5,5.3)</f>
        <v>5.4</v>
      </c>
      <c r="AD289" s="2">
        <f>AB289+AC289</f>
        <v>5.4</v>
      </c>
      <c r="AE289" s="9">
        <f t="shared" si="144"/>
        <v>87.850000000000009</v>
      </c>
      <c r="AG289" s="9">
        <v>11.35</v>
      </c>
      <c r="AH289" s="2">
        <f>AVERAGE(2.5,0.9)</f>
        <v>1.7</v>
      </c>
      <c r="AI289" s="2">
        <f>AVERAGE(1,18.3)</f>
        <v>9.65</v>
      </c>
      <c r="AJ289" s="2">
        <f t="shared" si="145"/>
        <v>11.35</v>
      </c>
      <c r="AK289" s="2">
        <f>AVERAGE(0,1.6)</f>
        <v>0.8</v>
      </c>
      <c r="AL289" s="9">
        <f t="shared" si="146"/>
        <v>100</v>
      </c>
      <c r="AM289" s="9" t="s">
        <v>458</v>
      </c>
      <c r="AN289" s="2" t="s">
        <v>690</v>
      </c>
      <c r="AQ289" s="9">
        <v>5.5</v>
      </c>
      <c r="AR289" s="9" t="s">
        <v>697</v>
      </c>
      <c r="AS289" s="9">
        <v>5.5</v>
      </c>
      <c r="AT289" s="9" t="s">
        <v>1051</v>
      </c>
      <c r="AU289" s="9">
        <v>1041</v>
      </c>
      <c r="AX289" s="2">
        <v>41.125</v>
      </c>
      <c r="AY289" s="2" t="s">
        <v>1336</v>
      </c>
      <c r="AZ289" s="9" t="s">
        <v>795</v>
      </c>
      <c r="BA289" s="16"/>
      <c r="BB289" s="16"/>
      <c r="BC289" s="16"/>
      <c r="BD289" s="16"/>
      <c r="BE289" s="16"/>
      <c r="BF289" s="16"/>
      <c r="BG289" s="16"/>
    </row>
    <row r="290" spans="1:59">
      <c r="A290" s="2" t="s">
        <v>1385</v>
      </c>
      <c r="B290" s="2" t="s">
        <v>1420</v>
      </c>
      <c r="C290" s="2" t="s">
        <v>270</v>
      </c>
      <c r="E290" s="2" t="s">
        <v>294</v>
      </c>
      <c r="F290" s="2">
        <v>0</v>
      </c>
      <c r="G290" s="2">
        <f>LOG(O290)</f>
        <v>1.4840474214217358</v>
      </c>
      <c r="H290" s="2">
        <f t="shared" si="132"/>
        <v>3.5532760461370994</v>
      </c>
      <c r="I290" s="2">
        <f>LOG(X290)</f>
        <v>-1</v>
      </c>
      <c r="J290" s="2">
        <f t="shared" si="147"/>
        <v>1.8966364305295842</v>
      </c>
      <c r="K290" s="2">
        <f t="shared" si="142"/>
        <v>0.96801571399364184</v>
      </c>
      <c r="L290" s="2">
        <f t="shared" si="140"/>
        <v>0.76566855475901408</v>
      </c>
      <c r="M290" s="2">
        <f t="shared" si="141"/>
        <v>1.8617374722154432</v>
      </c>
      <c r="N290" s="2">
        <v>1</v>
      </c>
      <c r="O290" s="12">
        <v>30.48227813117737</v>
      </c>
      <c r="P290" s="2">
        <v>28</v>
      </c>
      <c r="Q290" s="2" t="s">
        <v>316</v>
      </c>
      <c r="R290" s="9" t="s">
        <v>308</v>
      </c>
      <c r="S290" s="13">
        <v>3575</v>
      </c>
      <c r="T290" s="8">
        <v>18</v>
      </c>
      <c r="U290" s="9" t="s">
        <v>316</v>
      </c>
      <c r="V290" s="2" t="s">
        <v>306</v>
      </c>
      <c r="W290" s="2"/>
      <c r="X290" s="9">
        <v>0.1</v>
      </c>
      <c r="Y290" s="9">
        <f>AVERAGE(89.15,74.01,73.3)</f>
        <v>78.820000000000007</v>
      </c>
      <c r="Z290" s="9"/>
      <c r="AA290" s="2">
        <f t="shared" si="143"/>
        <v>78.820000000000007</v>
      </c>
      <c r="AB290" s="9">
        <f>AVERAGE(4.09,21.51,5.3)</f>
        <v>10.3</v>
      </c>
      <c r="AC290" s="9">
        <f>AVERAGE(1,1.79)</f>
        <v>1.395</v>
      </c>
      <c r="AD290" s="2">
        <f>AB290+AC290</f>
        <v>11.695</v>
      </c>
      <c r="AE290" s="9">
        <f t="shared" si="144"/>
        <v>90.515000000000015</v>
      </c>
      <c r="AF290" s="9"/>
      <c r="AG290" s="9">
        <v>9.2900000000000009</v>
      </c>
      <c r="AH290" s="9">
        <v>5.76</v>
      </c>
      <c r="AI290" s="9"/>
      <c r="AJ290" s="2">
        <f t="shared" si="145"/>
        <v>9.2900000000000009</v>
      </c>
      <c r="AK290" s="9">
        <v>0.1</v>
      </c>
      <c r="AL290" s="9">
        <f t="shared" si="146"/>
        <v>100.00500000000001</v>
      </c>
      <c r="AM290" s="9" t="s">
        <v>458</v>
      </c>
      <c r="AN290" s="9" t="s">
        <v>691</v>
      </c>
      <c r="AQ290" s="9">
        <v>5.83</v>
      </c>
      <c r="AR290" s="9" t="s">
        <v>1052</v>
      </c>
      <c r="AS290" s="9">
        <v>5.83</v>
      </c>
      <c r="AT290" s="9" t="s">
        <v>1053</v>
      </c>
      <c r="AU290" s="9">
        <f>AVERAGE(1083.33,1063.75,1463,223.5)</f>
        <v>958.39499999999998</v>
      </c>
      <c r="AV290" s="9"/>
      <c r="AW290" s="9"/>
      <c r="AX290" s="2">
        <v>72.734000000000009</v>
      </c>
      <c r="AY290" s="9" t="s">
        <v>1092</v>
      </c>
      <c r="AZ290" s="9" t="s">
        <v>1337</v>
      </c>
      <c r="BA290" s="17"/>
      <c r="BB290" s="17"/>
      <c r="BC290" s="17"/>
      <c r="BD290" s="17"/>
      <c r="BE290" s="17"/>
      <c r="BF290" s="16"/>
      <c r="BG290" s="17"/>
    </row>
    <row r="291" spans="1:59">
      <c r="F291" s="1"/>
      <c r="Q291" s="2"/>
      <c r="R291" s="2"/>
      <c r="S291" s="10"/>
      <c r="T291" s="10"/>
      <c r="U291" s="2"/>
      <c r="V291" s="2"/>
      <c r="W291" s="2"/>
    </row>
    <row r="292" spans="1:59">
      <c r="F292" s="1"/>
    </row>
    <row r="293" spans="1:59">
      <c r="F293" s="1"/>
    </row>
    <row r="294" spans="1:59">
      <c r="F294" s="1"/>
    </row>
    <row r="295" spans="1:59">
      <c r="F295" s="1"/>
    </row>
    <row r="296" spans="1:59">
      <c r="F296" s="1"/>
    </row>
    <row r="297" spans="1:59">
      <c r="F297" s="1"/>
    </row>
    <row r="298" spans="1:59">
      <c r="F298" s="1"/>
    </row>
    <row r="299" spans="1:59">
      <c r="F299" s="1"/>
    </row>
    <row r="300" spans="1:59">
      <c r="F300" s="1"/>
    </row>
    <row r="301" spans="1:59">
      <c r="F301" s="1"/>
    </row>
    <row r="302" spans="1:59">
      <c r="F302" s="1"/>
    </row>
    <row r="303" spans="1:59">
      <c r="F303" s="1"/>
    </row>
    <row r="304" spans="1:59">
      <c r="F304" s="1"/>
    </row>
    <row r="305" spans="6:6">
      <c r="F305" s="1"/>
    </row>
    <row r="306" spans="6:6">
      <c r="F306" s="1"/>
    </row>
    <row r="307" spans="6:6">
      <c r="F307" s="1"/>
    </row>
    <row r="308" spans="6:6">
      <c r="F308" s="1"/>
    </row>
    <row r="309" spans="6:6">
      <c r="F309" s="1"/>
    </row>
    <row r="310" spans="6:6">
      <c r="F310" s="1"/>
    </row>
    <row r="311" spans="6:6">
      <c r="F311" s="1"/>
    </row>
    <row r="312" spans="6:6">
      <c r="F312" s="1"/>
    </row>
    <row r="313" spans="6:6">
      <c r="F313" s="1"/>
    </row>
    <row r="314" spans="6:6">
      <c r="F314" s="1"/>
    </row>
    <row r="315" spans="6:6">
      <c r="F315" s="1"/>
    </row>
    <row r="316" spans="6:6">
      <c r="F316" s="1"/>
    </row>
    <row r="317" spans="6:6">
      <c r="F317" s="1"/>
    </row>
    <row r="318" spans="6:6">
      <c r="F318" s="1"/>
    </row>
    <row r="319" spans="6:6">
      <c r="F319" s="1"/>
    </row>
    <row r="320" spans="6:6">
      <c r="F320" s="1"/>
    </row>
    <row r="321" spans="6:6">
      <c r="F321" s="1"/>
    </row>
    <row r="322" spans="6:6">
      <c r="F322" s="1"/>
    </row>
    <row r="323" spans="6:6">
      <c r="F323" s="1"/>
    </row>
    <row r="324" spans="6:6">
      <c r="F324" s="1"/>
    </row>
    <row r="325" spans="6:6">
      <c r="F325" s="1"/>
    </row>
    <row r="326" spans="6:6">
      <c r="F326" s="1"/>
    </row>
    <row r="327" spans="6:6">
      <c r="F327" s="1"/>
    </row>
    <row r="328" spans="6:6">
      <c r="F328" s="1"/>
    </row>
    <row r="329" spans="6:6">
      <c r="F329" s="1"/>
    </row>
    <row r="330" spans="6:6">
      <c r="F330" s="1"/>
    </row>
    <row r="331" spans="6:6">
      <c r="F331" s="1"/>
    </row>
    <row r="332" spans="6:6">
      <c r="F332" s="1"/>
    </row>
    <row r="333" spans="6:6">
      <c r="F333" s="1"/>
    </row>
    <row r="334" spans="6:6">
      <c r="F334" s="1"/>
    </row>
    <row r="335" spans="6:6">
      <c r="F335" s="1"/>
    </row>
    <row r="336" spans="6:6">
      <c r="F336" s="1"/>
    </row>
    <row r="337" spans="6:6">
      <c r="F337" s="1"/>
    </row>
    <row r="338" spans="6:6">
      <c r="F338" s="1"/>
    </row>
    <row r="339" spans="6:6">
      <c r="F339" s="1"/>
    </row>
    <row r="340" spans="6:6">
      <c r="F340" s="1"/>
    </row>
    <row r="341" spans="6:6">
      <c r="F341" s="1"/>
    </row>
    <row r="342" spans="6:6">
      <c r="F342" s="1"/>
    </row>
    <row r="343" spans="6:6">
      <c r="F343" s="1"/>
    </row>
    <row r="344" spans="6:6">
      <c r="F344" s="1"/>
    </row>
    <row r="345" spans="6:6">
      <c r="F345" s="1"/>
    </row>
    <row r="346" spans="6:6">
      <c r="F346" s="1"/>
    </row>
    <row r="347" spans="6:6">
      <c r="F347" s="1"/>
    </row>
    <row r="348" spans="6:6">
      <c r="F348" s="1"/>
    </row>
    <row r="349" spans="6:6">
      <c r="F349" s="1"/>
    </row>
    <row r="350" spans="6:6">
      <c r="F350" s="1"/>
    </row>
    <row r="351" spans="6:6">
      <c r="F351" s="1"/>
    </row>
    <row r="352" spans="6:6">
      <c r="F352" s="1"/>
    </row>
    <row r="353" spans="6:6">
      <c r="F353" s="1"/>
    </row>
    <row r="354" spans="6:6">
      <c r="F354" s="1"/>
    </row>
    <row r="355" spans="6:6">
      <c r="F355" s="1"/>
    </row>
    <row r="356" spans="6:6">
      <c r="F356" s="1"/>
    </row>
    <row r="357" spans="6:6">
      <c r="F357" s="1"/>
    </row>
    <row r="358" spans="6:6">
      <c r="F358" s="1"/>
    </row>
    <row r="359" spans="6:6">
      <c r="F359" s="1"/>
    </row>
    <row r="360" spans="6:6">
      <c r="F360" s="1"/>
    </row>
    <row r="361" spans="6:6">
      <c r="F361" s="1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" defaultRowHeight="16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AIM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 Isler</dc:creator>
  <cp:lastModifiedBy>Lily Johnson-Ulrich</cp:lastModifiedBy>
  <dcterms:created xsi:type="dcterms:W3CDTF">2014-03-28T08:50:52Z</dcterms:created>
  <dcterms:modified xsi:type="dcterms:W3CDTF">2025-10-06T21:30:29Z</dcterms:modified>
</cp:coreProperties>
</file>