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minimized="1" xWindow="0" yWindow="0" windowWidth="24000" windowHeight="9420"/>
  </bookViews>
  <sheets>
    <sheet name="Eingabe+Ausgabe" sheetId="1" r:id="rId1"/>
    <sheet name="Berechnung" sheetId="2" r:id="rId2"/>
  </sheets>
  <definedNames>
    <definedName name="__a0">Berechnung!$C$2</definedName>
    <definedName name="__b0">Berechnung!$C$3</definedName>
    <definedName name="__f">Berechnung!$C$8</definedName>
    <definedName name="__g">Berechnung!$C$4</definedName>
    <definedName name="__w">Berechnung!$C$5</definedName>
    <definedName name="_a_avg">Berechnung!$C$9</definedName>
    <definedName name="_a_avg_M">Berechnung!$D$9</definedName>
    <definedName name="_a0">'Eingabe+Ausgabe'!$C$4</definedName>
    <definedName name="_a0_m">Berechnung!$D$2</definedName>
    <definedName name="_b_avg">Berechnung!$C$10</definedName>
    <definedName name="_b_avg_m">Berechnung!$D$10</definedName>
    <definedName name="_b0">'Eingabe+Ausgabe'!$C$5</definedName>
    <definedName name="_b0_m">Berechnung!$D$3</definedName>
    <definedName name="_C">Berechnung!$C$30</definedName>
    <definedName name="_d">Berechnung!$C$7</definedName>
    <definedName name="_d_m">Berechnung!$D$7</definedName>
    <definedName name="_E">'Eingabe+Ausgabe'!$C$10</definedName>
    <definedName name="_eps_r">Berechnung!$G$6</definedName>
    <definedName name="_eps0">Berechnung!$G$5</definedName>
    <definedName name="_f">'Eingabe+Ausgabe'!$C$11</definedName>
    <definedName name="_g">'Eingabe+Ausgabe'!$C$7</definedName>
    <definedName name="_g_m">Berechnung!$D$4</definedName>
    <definedName name="_L">Berechnung!$C$16</definedName>
    <definedName name="_mu_rel">Berechnung!$G$3</definedName>
    <definedName name="_mu0">Berechnung!$G$2</definedName>
    <definedName name="_N">'Eingabe+Ausgabe'!$C$9</definedName>
    <definedName name="_omega">Berechnung!$C$39</definedName>
    <definedName name="_Q">Berechnung!$C$34</definedName>
    <definedName name="_R_eff">Berechnung!$C$27</definedName>
    <definedName name="_sigma_cu">Berechnung!$G$4</definedName>
    <definedName name="_t">Berechnung!$C$6</definedName>
    <definedName name="_t_m">Berechnung!$D$6</definedName>
    <definedName name="_t0">'Eingabe+Ausgabe'!$C$8</definedName>
    <definedName name="_w">'Eingabe+Ausgabe'!$C$6</definedName>
    <definedName name="_w_m">Berechnung!$D$5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39" i="2" s="1"/>
  <c r="C5" i="2" l="1"/>
  <c r="C4" i="2"/>
  <c r="D6" i="2"/>
  <c r="C6" i="2"/>
  <c r="C3" i="2"/>
  <c r="C2" i="2"/>
  <c r="D5" i="2"/>
  <c r="D4" i="2"/>
  <c r="D3" i="2"/>
  <c r="D2" i="2"/>
  <c r="G2" i="2"/>
  <c r="C7" i="2" l="1"/>
  <c r="C23" i="2" s="1"/>
  <c r="C30" i="2"/>
  <c r="C31" i="2" s="1"/>
  <c r="C17" i="1" s="1"/>
  <c r="C18" i="2"/>
  <c r="C19" i="2"/>
  <c r="D10" i="2"/>
  <c r="C9" i="2"/>
  <c r="C13" i="2" s="1"/>
  <c r="C10" i="2"/>
  <c r="D9" i="2"/>
  <c r="C20" i="2" l="1"/>
  <c r="C24" i="2" s="1"/>
  <c r="C27" i="2" s="1"/>
  <c r="C12" i="2"/>
  <c r="D14" i="2"/>
  <c r="C14" i="2"/>
  <c r="D13" i="2"/>
  <c r="C16" i="1" l="1"/>
  <c r="C41" i="2"/>
  <c r="C11" i="2" l="1"/>
  <c r="C15" i="2" s="1"/>
  <c r="D7" i="2"/>
  <c r="D12" i="2" s="1"/>
  <c r="C16" i="2" l="1"/>
  <c r="C15" i="1"/>
  <c r="D11" i="2"/>
  <c r="D15" i="2" s="1"/>
  <c r="D16" i="2" s="1"/>
  <c r="C50" i="2" l="1"/>
  <c r="C44" i="2"/>
  <c r="C42" i="2"/>
  <c r="C34" i="2"/>
  <c r="C18" i="1" s="1"/>
  <c r="C29" i="1" s="1"/>
  <c r="C40" i="2" l="1"/>
  <c r="C43" i="2" s="1"/>
  <c r="C45" i="2" s="1"/>
  <c r="C46" i="2" s="1"/>
  <c r="C51" i="2" l="1"/>
  <c r="C52" i="2" s="1"/>
  <c r="C47" i="2"/>
  <c r="C31" i="1" s="1"/>
  <c r="C53" i="2" l="1"/>
  <c r="C54" i="2" s="1"/>
  <c r="C55" i="2" s="1"/>
  <c r="C30" i="1" s="1"/>
</calcChain>
</file>

<file path=xl/sharedStrings.xml><?xml version="1.0" encoding="utf-8"?>
<sst xmlns="http://schemas.openxmlformats.org/spreadsheetml/2006/main" count="155" uniqueCount="109">
  <si>
    <t>PCB Rechteckantenne</t>
  </si>
  <si>
    <t>a0</t>
  </si>
  <si>
    <t>Außenbreite</t>
  </si>
  <si>
    <t>b0</t>
  </si>
  <si>
    <t>Außenhöhe</t>
  </si>
  <si>
    <t>w</t>
  </si>
  <si>
    <t>Leiterbahnbreite</t>
  </si>
  <si>
    <t>g</t>
  </si>
  <si>
    <t>Leiterbahnabstand</t>
  </si>
  <si>
    <t>t</t>
  </si>
  <si>
    <t>mm</t>
  </si>
  <si>
    <t>µm</t>
  </si>
  <si>
    <t>Leiterbahnstärke</t>
  </si>
  <si>
    <t>N</t>
  </si>
  <si>
    <t>Anzahl Windungen</t>
  </si>
  <si>
    <t>E</t>
  </si>
  <si>
    <t>Anpasswert</t>
  </si>
  <si>
    <t>a</t>
  </si>
  <si>
    <t>d</t>
  </si>
  <si>
    <t>Äquivalenter Leiterbahndurchmesser</t>
  </si>
  <si>
    <t>a_avg</t>
  </si>
  <si>
    <t>Mittlere Länge</t>
  </si>
  <si>
    <t>b_avg</t>
  </si>
  <si>
    <t>Mittlere Breite</t>
  </si>
  <si>
    <t>M1</t>
  </si>
  <si>
    <t>Gegeninduktivität</t>
  </si>
  <si>
    <t>Konstanten</t>
  </si>
  <si>
    <t>µ0</t>
  </si>
  <si>
    <t>Standard 1,6</t>
  </si>
  <si>
    <t>M2</t>
  </si>
  <si>
    <t>L1</t>
  </si>
  <si>
    <t>Selbstinduktivität</t>
  </si>
  <si>
    <t>L2</t>
  </si>
  <si>
    <t>L</t>
  </si>
  <si>
    <t>Gesamtinduktivität</t>
  </si>
  <si>
    <t>Nach Medo</t>
  </si>
  <si>
    <t>Nach rfid-systems.at</t>
  </si>
  <si>
    <t>µrel</t>
  </si>
  <si>
    <t>µH</t>
  </si>
  <si>
    <t>Ohmscher Widerstand</t>
  </si>
  <si>
    <t>l</t>
  </si>
  <si>
    <t>Länge</t>
  </si>
  <si>
    <t>sigma_Cu</t>
  </si>
  <si>
    <t>Spezifischer Widerstand Kupfer [Ohm*mm²/m]</t>
  </si>
  <si>
    <t>Querschnitt</t>
  </si>
  <si>
    <t>R</t>
  </si>
  <si>
    <t>Widerstand</t>
  </si>
  <si>
    <t>Ohm</t>
  </si>
  <si>
    <t>m</t>
  </si>
  <si>
    <t>m²</t>
  </si>
  <si>
    <t>Skin-Effekt</t>
  </si>
  <si>
    <t>e_ac</t>
  </si>
  <si>
    <t>Faktor</t>
  </si>
  <si>
    <t>f</t>
  </si>
  <si>
    <t>Frequenz</t>
  </si>
  <si>
    <t>MHz</t>
  </si>
  <si>
    <t>R_ac</t>
  </si>
  <si>
    <t>Effektiver Widerstand</t>
  </si>
  <si>
    <t>R_eff</t>
  </si>
  <si>
    <t>Kapazität</t>
  </si>
  <si>
    <t>C</t>
  </si>
  <si>
    <t>epsilon_0</t>
  </si>
  <si>
    <t>epsilon_r</t>
  </si>
  <si>
    <t>FR4</t>
  </si>
  <si>
    <t>F</t>
  </si>
  <si>
    <t>Windungskapazität</t>
  </si>
  <si>
    <t>…in pF</t>
  </si>
  <si>
    <t>pF</t>
  </si>
  <si>
    <t>Güte</t>
  </si>
  <si>
    <t>Q</t>
  </si>
  <si>
    <t>H</t>
  </si>
  <si>
    <t>Güte (Impedanz Quelle nicht berücksichtigt)</t>
  </si>
  <si>
    <t>Antennenwiderstand</t>
  </si>
  <si>
    <t xml:space="preserve"> (Impedanz Quelle nicht berücksichtigt)</t>
  </si>
  <si>
    <t>Antenne</t>
  </si>
  <si>
    <t>Anpassung nach AN77925</t>
  </si>
  <si>
    <t>R1</t>
  </si>
  <si>
    <t>R2</t>
  </si>
  <si>
    <t>C3</t>
  </si>
  <si>
    <t>C4</t>
  </si>
  <si>
    <t>Empfangszweig</t>
  </si>
  <si>
    <t>Sendezweig</t>
  </si>
  <si>
    <t>L0</t>
  </si>
  <si>
    <t>Fixer Wert aus Appnote</t>
  </si>
  <si>
    <t>C0</t>
  </si>
  <si>
    <t>Fixer Wert aus Appnote, NP0</t>
  </si>
  <si>
    <t>nF</t>
  </si>
  <si>
    <t>Rext</t>
  </si>
  <si>
    <t>C2</t>
  </si>
  <si>
    <t>1-R/Z</t>
  </si>
  <si>
    <t>Normierungsfaktor</t>
  </si>
  <si>
    <t>Term 1</t>
  </si>
  <si>
    <t>Omega</t>
  </si>
  <si>
    <t>Gesamtwiderstand</t>
  </si>
  <si>
    <t>Term 2</t>
  </si>
  <si>
    <t>Term 3</t>
  </si>
  <si>
    <t>Nenner ohne Omega</t>
  </si>
  <si>
    <t>Ergebnis</t>
  </si>
  <si>
    <t>in pF</t>
  </si>
  <si>
    <r>
      <t xml:space="preserve">Gleichung (Appnote 3.5) ist falsch, es muss </t>
    </r>
    <r>
      <rPr>
        <sz val="10"/>
        <color theme="1"/>
        <rFont val="Symbol"/>
        <family val="1"/>
        <charset val="2"/>
      </rPr>
      <t>w</t>
    </r>
    <r>
      <rPr>
        <sz val="10"/>
        <color theme="1"/>
        <rFont val="Arial"/>
        <family val="2"/>
      </rPr>
      <t xml:space="preserve">L statt </t>
    </r>
    <r>
      <rPr>
        <sz val="10"/>
        <color theme="1"/>
        <rFont val="Symbol"/>
        <family val="1"/>
        <charset val="2"/>
      </rPr>
      <t>w</t>
    </r>
    <r>
      <rPr>
        <sz val="10"/>
        <color theme="1"/>
        <rFont val="Arial"/>
        <family val="2"/>
      </rPr>
      <t>²L heißen</t>
    </r>
  </si>
  <si>
    <t>C1</t>
  </si>
  <si>
    <t>Appnote 3.5</t>
  </si>
  <si>
    <t>Zähler</t>
  </si>
  <si>
    <t>Nenner</t>
  </si>
  <si>
    <r>
      <rPr>
        <sz val="10"/>
        <color theme="1"/>
        <rFont val="Symbol"/>
        <family val="1"/>
        <charset val="2"/>
      </rPr>
      <t>w</t>
    </r>
    <r>
      <rPr>
        <sz val="10"/>
        <color theme="1"/>
        <rFont val="Arial"/>
        <family val="2"/>
      </rPr>
      <t>C2</t>
    </r>
  </si>
  <si>
    <r>
      <rPr>
        <sz val="10"/>
        <color theme="1"/>
        <rFont val="Symbol"/>
        <family val="1"/>
        <charset val="2"/>
      </rPr>
      <t>w</t>
    </r>
    <r>
      <rPr>
        <sz val="10"/>
        <color theme="1"/>
        <rFont val="Arial"/>
        <family val="2"/>
      </rPr>
      <t>L</t>
    </r>
  </si>
  <si>
    <t>Startwert. Verringern, bis Vpp an Rx im Fenster 1,5V…3V liegt</t>
  </si>
  <si>
    <t>kOhm</t>
  </si>
  <si>
    <t>Quellen: http://rfid-systems.at/03_Loop_Antennas.pdf, https://www.medo64.com/2014/11/rectangular-nfc-antenna-calculator/, https://www.nxp.com/docs/en/application-note/AN077925.pdf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</si>
</sst>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Unicode MS"/>
      <family val="2"/>
    </font>
    <font>
      <i/>
      <sz val="10"/>
      <color theme="1"/>
      <name val="Arial"/>
      <family val="2"/>
    </font>
    <font>
      <sz val="10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164" fontId="0" fillId="0" borderId="0" xfId="0" applyNumberFormat="1" applyFont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0" fontId="0" fillId="2" borderId="0" xfId="0" applyFill="1"/>
    <xf numFmtId="0" fontId="1" fillId="3" borderId="0" xfId="0" applyFont="1" applyFill="1"/>
    <xf numFmtId="0" fontId="0" fillId="3" borderId="0" xfId="0" applyFill="1"/>
    <xf numFmtId="2" fontId="0" fillId="3" borderId="0" xfId="0" applyNumberFormat="1" applyFill="1"/>
    <xf numFmtId="0" fontId="1" fillId="4" borderId="0" xfId="0" applyFont="1" applyFill="1"/>
    <xf numFmtId="0" fontId="0" fillId="4" borderId="0" xfId="0" applyFill="1"/>
    <xf numFmtId="0" fontId="3" fillId="4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171450</xdr:colOff>
      <xdr:row>2</xdr:row>
      <xdr:rowOff>133350</xdr:rowOff>
    </xdr:from>
    <xdr:to>
      <xdr:col>15</xdr:col>
      <xdr:colOff>468693</xdr:colOff>
      <xdr:row>22</xdr:row>
      <xdr:rowOff>48900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0850" y="457200"/>
          <a:ext cx="4869243" cy="315405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23</xdr:row>
      <xdr:rowOff>76200</xdr:rowOff>
    </xdr:from>
    <xdr:to>
      <xdr:col>19</xdr:col>
      <xdr:colOff>460397</xdr:colOff>
      <xdr:row>57</xdr:row>
      <xdr:rowOff>40311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00850" y="3667125"/>
          <a:ext cx="7908947" cy="5469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C10" sqref="C10"/>
    </sheetView>
  </sheetViews>
  <sheetFormatPr baseColWidth="10" defaultRowHeight="12.75" x14ac:dyDescent="0.2"/>
  <cols>
    <col min="1" max="1" width="5.5703125" customWidth="1"/>
    <col min="2" max="2" width="18.7109375" customWidth="1"/>
    <col min="3" max="3" width="6.5703125" customWidth="1"/>
  </cols>
  <sheetData>
    <row r="1" spans="1:4" x14ac:dyDescent="0.2">
      <c r="A1" s="1" t="s">
        <v>0</v>
      </c>
    </row>
    <row r="2" spans="1:4" x14ac:dyDescent="0.2">
      <c r="A2" t="s">
        <v>108</v>
      </c>
    </row>
    <row r="3" spans="1:4" x14ac:dyDescent="0.2">
      <c r="A3" s="8"/>
      <c r="B3" s="8"/>
      <c r="C3" s="8"/>
      <c r="D3" s="8"/>
    </row>
    <row r="4" spans="1:4" x14ac:dyDescent="0.2">
      <c r="A4" s="8" t="s">
        <v>1</v>
      </c>
      <c r="B4" s="8" t="s">
        <v>2</v>
      </c>
      <c r="C4">
        <v>78</v>
      </c>
      <c r="D4" s="8" t="s">
        <v>10</v>
      </c>
    </row>
    <row r="5" spans="1:4" x14ac:dyDescent="0.2">
      <c r="A5" s="8" t="s">
        <v>3</v>
      </c>
      <c r="B5" s="8" t="s">
        <v>4</v>
      </c>
      <c r="C5">
        <v>49</v>
      </c>
      <c r="D5" s="8" t="s">
        <v>10</v>
      </c>
    </row>
    <row r="6" spans="1:4" x14ac:dyDescent="0.2">
      <c r="A6" s="8" t="s">
        <v>5</v>
      </c>
      <c r="B6" s="8" t="s">
        <v>6</v>
      </c>
      <c r="C6">
        <v>1</v>
      </c>
      <c r="D6" s="8" t="s">
        <v>10</v>
      </c>
    </row>
    <row r="7" spans="1:4" x14ac:dyDescent="0.2">
      <c r="A7" s="8" t="s">
        <v>7</v>
      </c>
      <c r="B7" s="8" t="s">
        <v>8</v>
      </c>
      <c r="C7">
        <v>1</v>
      </c>
      <c r="D7" s="8" t="s">
        <v>10</v>
      </c>
    </row>
    <row r="8" spans="1:4" x14ac:dyDescent="0.2">
      <c r="A8" s="8" t="s">
        <v>9</v>
      </c>
      <c r="B8" s="8" t="s">
        <v>12</v>
      </c>
      <c r="C8">
        <v>35</v>
      </c>
      <c r="D8" s="8" t="s">
        <v>11</v>
      </c>
    </row>
    <row r="9" spans="1:4" x14ac:dyDescent="0.2">
      <c r="A9" s="8" t="s">
        <v>13</v>
      </c>
      <c r="B9" s="8" t="s">
        <v>14</v>
      </c>
      <c r="C9">
        <v>4</v>
      </c>
      <c r="D9" s="8"/>
    </row>
    <row r="10" spans="1:4" x14ac:dyDescent="0.2">
      <c r="A10" s="8" t="s">
        <v>15</v>
      </c>
      <c r="B10" s="8" t="s">
        <v>16</v>
      </c>
      <c r="C10">
        <v>1.6</v>
      </c>
      <c r="D10" s="8" t="s">
        <v>28</v>
      </c>
    </row>
    <row r="11" spans="1:4" x14ac:dyDescent="0.2">
      <c r="A11" s="8" t="s">
        <v>53</v>
      </c>
      <c r="B11" s="8" t="s">
        <v>54</v>
      </c>
      <c r="C11">
        <v>13.56</v>
      </c>
      <c r="D11" s="8" t="s">
        <v>55</v>
      </c>
    </row>
    <row r="12" spans="1:4" x14ac:dyDescent="0.2">
      <c r="A12" s="8"/>
      <c r="B12" s="8"/>
      <c r="C12" s="8"/>
      <c r="D12" s="8"/>
    </row>
    <row r="14" spans="1:4" x14ac:dyDescent="0.2">
      <c r="A14" s="9" t="s">
        <v>74</v>
      </c>
      <c r="B14" s="10"/>
      <c r="C14" s="10"/>
      <c r="D14" s="10"/>
    </row>
    <row r="15" spans="1:4" x14ac:dyDescent="0.2">
      <c r="A15" s="10" t="s">
        <v>33</v>
      </c>
      <c r="B15" s="10" t="s">
        <v>34</v>
      </c>
      <c r="C15" s="11">
        <f>Berechnung!C15</f>
        <v>2.0098000771235567</v>
      </c>
      <c r="D15" s="10" t="s">
        <v>38</v>
      </c>
    </row>
    <row r="16" spans="1:4" x14ac:dyDescent="0.2">
      <c r="A16" s="10" t="s">
        <v>58</v>
      </c>
      <c r="B16" s="10" t="s">
        <v>72</v>
      </c>
      <c r="C16" s="10">
        <f>_R_eff</f>
        <v>0.4905026293627926</v>
      </c>
      <c r="D16" s="10" t="s">
        <v>47</v>
      </c>
    </row>
    <row r="17" spans="1:5" x14ac:dyDescent="0.2">
      <c r="A17" s="10" t="s">
        <v>60</v>
      </c>
      <c r="B17" s="10" t="s">
        <v>65</v>
      </c>
      <c r="C17" s="10">
        <f>Berechnung!C31</f>
        <v>0.93464797971999991</v>
      </c>
      <c r="D17" s="10" t="s">
        <v>67</v>
      </c>
    </row>
    <row r="18" spans="1:5" x14ac:dyDescent="0.2">
      <c r="A18" s="10" t="s">
        <v>69</v>
      </c>
      <c r="B18" s="10" t="s">
        <v>68</v>
      </c>
      <c r="C18" s="10">
        <f>_Q</f>
        <v>2989.5860181515704</v>
      </c>
      <c r="D18" s="10" t="s">
        <v>73</v>
      </c>
    </row>
    <row r="20" spans="1:5" x14ac:dyDescent="0.2">
      <c r="A20" s="12" t="s">
        <v>75</v>
      </c>
      <c r="B20" s="13"/>
      <c r="C20" s="13"/>
      <c r="D20" s="13"/>
    </row>
    <row r="21" spans="1:5" x14ac:dyDescent="0.2">
      <c r="A21" s="14" t="s">
        <v>80</v>
      </c>
      <c r="B21" s="13"/>
      <c r="C21" s="13"/>
      <c r="D21" s="13"/>
    </row>
    <row r="22" spans="1:5" x14ac:dyDescent="0.2">
      <c r="A22" s="13" t="s">
        <v>76</v>
      </c>
      <c r="B22" s="13"/>
      <c r="C22" s="13">
        <v>4.7</v>
      </c>
      <c r="D22" s="13" t="s">
        <v>107</v>
      </c>
      <c r="E22" t="s">
        <v>106</v>
      </c>
    </row>
    <row r="23" spans="1:5" x14ac:dyDescent="0.2">
      <c r="A23" s="13" t="s">
        <v>77</v>
      </c>
      <c r="B23" s="13"/>
      <c r="C23" s="13">
        <v>820</v>
      </c>
      <c r="D23" s="13" t="s">
        <v>47</v>
      </c>
      <c r="E23" t="s">
        <v>83</v>
      </c>
    </row>
    <row r="24" spans="1:5" x14ac:dyDescent="0.2">
      <c r="A24" s="13" t="s">
        <v>78</v>
      </c>
      <c r="B24" s="13"/>
      <c r="C24" s="13">
        <v>1</v>
      </c>
      <c r="D24" s="13" t="s">
        <v>86</v>
      </c>
      <c r="E24" t="s">
        <v>85</v>
      </c>
    </row>
    <row r="25" spans="1:5" x14ac:dyDescent="0.2">
      <c r="A25" s="13" t="s">
        <v>79</v>
      </c>
      <c r="B25" s="13"/>
      <c r="C25" s="13">
        <v>100</v>
      </c>
      <c r="D25" s="13" t="s">
        <v>86</v>
      </c>
      <c r="E25" t="s">
        <v>83</v>
      </c>
    </row>
    <row r="26" spans="1:5" x14ac:dyDescent="0.2">
      <c r="A26" s="14" t="s">
        <v>81</v>
      </c>
      <c r="B26" s="13"/>
      <c r="C26" s="13"/>
      <c r="D26" s="13"/>
    </row>
    <row r="27" spans="1:5" x14ac:dyDescent="0.2">
      <c r="A27" s="13" t="s">
        <v>82</v>
      </c>
      <c r="B27" s="13"/>
      <c r="C27" s="13">
        <v>1</v>
      </c>
      <c r="D27" s="13" t="s">
        <v>38</v>
      </c>
      <c r="E27" t="s">
        <v>83</v>
      </c>
    </row>
    <row r="28" spans="1:5" x14ac:dyDescent="0.2">
      <c r="A28" s="13" t="s">
        <v>84</v>
      </c>
      <c r="B28" s="13"/>
      <c r="C28" s="13">
        <v>68</v>
      </c>
      <c r="D28" s="13" t="s">
        <v>67</v>
      </c>
      <c r="E28" t="s">
        <v>85</v>
      </c>
    </row>
    <row r="29" spans="1:5" x14ac:dyDescent="0.2">
      <c r="A29" s="13" t="s">
        <v>87</v>
      </c>
      <c r="B29" s="13"/>
      <c r="C29" s="13">
        <f>2*PI()*__f*_L/(2*C18)-_R_eff/2</f>
        <v>-0.21661274215144277</v>
      </c>
      <c r="D29" s="13" t="s">
        <v>47</v>
      </c>
    </row>
    <row r="30" spans="1:5" x14ac:dyDescent="0.2">
      <c r="A30" s="13" t="s">
        <v>100</v>
      </c>
      <c r="B30" s="13"/>
      <c r="C30" s="13">
        <f>Berechnung!C55</f>
        <v>3.0424858212930213</v>
      </c>
      <c r="D30" s="13" t="s">
        <v>67</v>
      </c>
    </row>
    <row r="31" spans="1:5" x14ac:dyDescent="0.2">
      <c r="A31" s="13" t="s">
        <v>88</v>
      </c>
      <c r="B31" s="13"/>
      <c r="C31" s="13">
        <f>Berechnung!C47</f>
        <v>65.513451616869432</v>
      </c>
      <c r="D31" s="13" t="s">
        <v>67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zoomScaleNormal="100" workbookViewId="0"/>
  </sheetViews>
  <sheetFormatPr baseColWidth="10" defaultRowHeight="12.75" x14ac:dyDescent="0.2"/>
  <cols>
    <col min="1" max="1" width="5.5703125" customWidth="1"/>
    <col min="2" max="2" width="50.7109375" customWidth="1"/>
    <col min="3" max="3" width="19.140625" bestFit="1" customWidth="1"/>
    <col min="7" max="7" width="13" bestFit="1" customWidth="1"/>
  </cols>
  <sheetData>
    <row r="1" spans="1:8" x14ac:dyDescent="0.2">
      <c r="C1" s="1" t="s">
        <v>36</v>
      </c>
      <c r="D1" s="1" t="s">
        <v>35</v>
      </c>
      <c r="F1" s="1" t="s">
        <v>26</v>
      </c>
    </row>
    <row r="2" spans="1:8" x14ac:dyDescent="0.2">
      <c r="A2" t="s">
        <v>1</v>
      </c>
      <c r="C2" s="4">
        <f>_a0/1000</f>
        <v>7.8E-2</v>
      </c>
      <c r="D2" s="4">
        <f>_a0/1000</f>
        <v>7.8E-2</v>
      </c>
      <c r="F2" t="s">
        <v>27</v>
      </c>
      <c r="G2">
        <f>0.0000004*PI()</f>
        <v>1.2566370614359173E-6</v>
      </c>
    </row>
    <row r="3" spans="1:8" x14ac:dyDescent="0.2">
      <c r="A3" t="s">
        <v>3</v>
      </c>
      <c r="C3" s="4">
        <f>_b0/1000</f>
        <v>4.9000000000000002E-2</v>
      </c>
      <c r="D3" s="4">
        <f>_b0/1000</f>
        <v>4.9000000000000002E-2</v>
      </c>
      <c r="F3" t="s">
        <v>37</v>
      </c>
      <c r="G3">
        <v>1</v>
      </c>
    </row>
    <row r="4" spans="1:8" x14ac:dyDescent="0.2">
      <c r="A4" t="s">
        <v>7</v>
      </c>
      <c r="C4" s="4">
        <f>_g/1000</f>
        <v>1E-3</v>
      </c>
      <c r="D4" s="4">
        <f>_g/1000</f>
        <v>1E-3</v>
      </c>
      <c r="F4" t="s">
        <v>42</v>
      </c>
      <c r="G4">
        <v>1.7100000000000001E-2</v>
      </c>
      <c r="H4" t="s">
        <v>43</v>
      </c>
    </row>
    <row r="5" spans="1:8" x14ac:dyDescent="0.2">
      <c r="A5" t="s">
        <v>5</v>
      </c>
      <c r="C5" s="4">
        <f>_w/1000</f>
        <v>1E-3</v>
      </c>
      <c r="D5" s="4">
        <f>_w/1000</f>
        <v>1E-3</v>
      </c>
      <c r="F5" t="s">
        <v>61</v>
      </c>
      <c r="G5" s="2">
        <v>8.8541870000000005E-12</v>
      </c>
    </row>
    <row r="6" spans="1:8" x14ac:dyDescent="0.2">
      <c r="A6" t="s">
        <v>9</v>
      </c>
      <c r="B6" t="s">
        <v>12</v>
      </c>
      <c r="C6" s="5">
        <f>_t0/1000000</f>
        <v>3.4999999999999997E-5</v>
      </c>
      <c r="D6" s="5">
        <f>_t0/1000000</f>
        <v>3.4999999999999997E-5</v>
      </c>
      <c r="F6" t="s">
        <v>62</v>
      </c>
      <c r="G6">
        <v>4</v>
      </c>
      <c r="H6" t="s">
        <v>63</v>
      </c>
    </row>
    <row r="7" spans="1:8" x14ac:dyDescent="0.2">
      <c r="A7" t="s">
        <v>18</v>
      </c>
      <c r="B7" t="s">
        <v>19</v>
      </c>
      <c r="C7">
        <f>2*SQRT(_t*__w/PI())</f>
        <v>2.111004122822376E-4</v>
      </c>
      <c r="D7">
        <f>2*(_t_m+_w/1000)/PI()</f>
        <v>6.5890146440044674E-4</v>
      </c>
    </row>
    <row r="8" spans="1:8" x14ac:dyDescent="0.2">
      <c r="A8" t="s">
        <v>53</v>
      </c>
      <c r="B8" t="s">
        <v>54</v>
      </c>
      <c r="C8" s="6">
        <f>_f*1000000</f>
        <v>13560000</v>
      </c>
      <c r="D8" s="6"/>
    </row>
    <row r="9" spans="1:8" x14ac:dyDescent="0.2">
      <c r="A9" t="s">
        <v>20</v>
      </c>
      <c r="B9" t="s">
        <v>21</v>
      </c>
      <c r="C9">
        <f>SQRT(__a0^2+(__a0-2*_N*(__g+__w))^2)/SQRT(2)</f>
        <v>7.0455659815234134E-2</v>
      </c>
      <c r="D9">
        <f>(_a0_m-_N*(_g_m+_w_m))</f>
        <v>7.0000000000000007E-2</v>
      </c>
    </row>
    <row r="10" spans="1:8" x14ac:dyDescent="0.2">
      <c r="A10" t="s">
        <v>22</v>
      </c>
      <c r="B10" t="s">
        <v>23</v>
      </c>
      <c r="C10">
        <f>SQRT(__b0^2+(__b0-2*_N*(__g+__w))^2)/SQRT(2)</f>
        <v>4.1773197148410844E-2</v>
      </c>
      <c r="D10">
        <f>(_b0_m-_N*(_g_m+_w_m))</f>
        <v>4.1000000000000002E-2</v>
      </c>
    </row>
    <row r="11" spans="1:8" x14ac:dyDescent="0.2">
      <c r="A11" t="s">
        <v>24</v>
      </c>
      <c r="B11" t="s">
        <v>25</v>
      </c>
      <c r="C11">
        <f>_mu0/(2*PI())*(_a_avg*LN(2*_a_avg*_b_avg/(_d*(_a_avg+SQRT(_a_avg^2+_b_avg^2))))-2*_b_avg+SQRT(_a_avg^2+_b_avg^2))</f>
        <v>7.3080644984265278E-8</v>
      </c>
      <c r="D11">
        <f>_a_avg_M * LN((2 * _a_avg_M * _b_avg_m) / (_d_m * (_a_avg_M + SQRT(_a_avg_M^2 + _b_avg_m^2))))</f>
        <v>0.28380095044689041</v>
      </c>
    </row>
    <row r="12" spans="1:8" x14ac:dyDescent="0.2">
      <c r="A12" t="s">
        <v>29</v>
      </c>
      <c r="B12" t="s">
        <v>25</v>
      </c>
      <c r="C12">
        <f>_mu0/(2*PI())*(_b_avg*LN(2*_a_avg*_b_avg/(_d*(_b_avg+SQRT(_a_avg^2+_b_avg^2))))-2*_a_avg+SQRT(_a_avg^2+_b_avg^2))</f>
        <v>3.3465670419925256E-8</v>
      </c>
      <c r="D12">
        <f>_b_avg_m * LN((2 * _a_avg_M * _b_avg_m) / (_d_m * (_b_avg_m + SQRT(_a_avg_M^2 + _b_avg_m^2))))</f>
        <v>0.1749619265889224</v>
      </c>
    </row>
    <row r="13" spans="1:8" x14ac:dyDescent="0.2">
      <c r="A13" t="s">
        <v>30</v>
      </c>
      <c r="B13" t="s">
        <v>31</v>
      </c>
      <c r="C13">
        <f>_mu0*_a_avg/(16*PI())</f>
        <v>1.7613914953808534E-9</v>
      </c>
      <c r="D13">
        <f>2 * (_a_avg_M + _b_avg_m - SQRT(_a_avg_M^2 + _b_avg_m^2))</f>
        <v>5.9753274301143466E-2</v>
      </c>
    </row>
    <row r="14" spans="1:8" x14ac:dyDescent="0.2">
      <c r="A14" t="s">
        <v>32</v>
      </c>
      <c r="B14" t="s">
        <v>31</v>
      </c>
      <c r="C14">
        <f>_mu0*_b_avg/(16*PI())</f>
        <v>1.0443299287102711E-9</v>
      </c>
      <c r="D14">
        <f>(_a_avg_M+_b_avg_m)/4</f>
        <v>2.7750000000000004E-2</v>
      </c>
    </row>
    <row r="15" spans="1:8" x14ac:dyDescent="0.2">
      <c r="A15" t="s">
        <v>33</v>
      </c>
      <c r="B15" t="s">
        <v>34</v>
      </c>
      <c r="C15" s="6">
        <f>2*SUM(C11:C14)*_N^_E*1000000</f>
        <v>2.0098000771235567</v>
      </c>
      <c r="D15" s="6">
        <f xml:space="preserve"> ((_mu0 * _mu_rel) / PI()) * (D11+D12-D13+D14)*(_N^_E)*1000000</f>
        <v>1.5686977716496093</v>
      </c>
      <c r="E15" t="s">
        <v>38</v>
      </c>
    </row>
    <row r="16" spans="1:8" x14ac:dyDescent="0.2">
      <c r="A16" t="s">
        <v>33</v>
      </c>
      <c r="B16" t="s">
        <v>34</v>
      </c>
      <c r="C16">
        <f>C15*0.000001</f>
        <v>2.0098000771235567E-6</v>
      </c>
      <c r="D16">
        <f>D15*0.000001</f>
        <v>1.5686977716496092E-6</v>
      </c>
      <c r="E16" t="s">
        <v>70</v>
      </c>
    </row>
    <row r="17" spans="1:4" x14ac:dyDescent="0.2">
      <c r="A17" s="1" t="s">
        <v>39</v>
      </c>
    </row>
    <row r="18" spans="1:4" x14ac:dyDescent="0.2">
      <c r="A18" t="s">
        <v>40</v>
      </c>
      <c r="B18" t="s">
        <v>41</v>
      </c>
      <c r="C18">
        <f>2*_N*(__a0+__b0)-2*(_N-1)*(__w+__g)</f>
        <v>1.004</v>
      </c>
      <c r="D18" t="s">
        <v>48</v>
      </c>
    </row>
    <row r="19" spans="1:4" x14ac:dyDescent="0.2">
      <c r="A19" t="s">
        <v>17</v>
      </c>
      <c r="B19" t="s">
        <v>44</v>
      </c>
      <c r="C19">
        <f>__w*_t</f>
        <v>3.4999999999999996E-8</v>
      </c>
      <c r="D19" t="s">
        <v>49</v>
      </c>
    </row>
    <row r="20" spans="1:4" x14ac:dyDescent="0.2">
      <c r="A20" t="s">
        <v>45</v>
      </c>
      <c r="B20" t="s">
        <v>46</v>
      </c>
      <c r="C20">
        <f>C18*_sigma_cu/C19*0.000001</f>
        <v>0.49052571428571434</v>
      </c>
      <c r="D20" t="s">
        <v>47</v>
      </c>
    </row>
    <row r="22" spans="1:4" x14ac:dyDescent="0.2">
      <c r="A22" s="1" t="s">
        <v>50</v>
      </c>
    </row>
    <row r="23" spans="1:4" x14ac:dyDescent="0.2">
      <c r="A23" t="s">
        <v>51</v>
      </c>
      <c r="B23" t="s">
        <v>52</v>
      </c>
      <c r="C23">
        <f>_d^2*__f*PI()*_mu0*_sigma_cu*100000000000000/192</f>
        <v>21246.748195860451</v>
      </c>
    </row>
    <row r="24" spans="1:4" x14ac:dyDescent="0.2">
      <c r="A24" t="s">
        <v>56</v>
      </c>
      <c r="C24">
        <f>(1+C23)*C20</f>
        <v>10422.566860737446</v>
      </c>
      <c r="D24" t="s">
        <v>47</v>
      </c>
    </row>
    <row r="26" spans="1:4" x14ac:dyDescent="0.2">
      <c r="A26" s="1" t="s">
        <v>57</v>
      </c>
    </row>
    <row r="27" spans="1:4" x14ac:dyDescent="0.2">
      <c r="A27" t="s">
        <v>58</v>
      </c>
      <c r="C27">
        <f>(C20*C24)/(C20+C24)</f>
        <v>0.4905026293627926</v>
      </c>
      <c r="D27" t="s">
        <v>47</v>
      </c>
    </row>
    <row r="29" spans="1:4" x14ac:dyDescent="0.2">
      <c r="A29" s="1" t="s">
        <v>59</v>
      </c>
    </row>
    <row r="30" spans="1:4" x14ac:dyDescent="0.2">
      <c r="A30" t="s">
        <v>60</v>
      </c>
      <c r="B30" t="s">
        <v>65</v>
      </c>
      <c r="C30">
        <f>2*((_N-1)*(_a0+_b0)-(_N-2)*(_w+_g))*_t/_g*_eps0*_eps_r</f>
        <v>9.3464797971999991E-13</v>
      </c>
      <c r="D30" t="s">
        <v>64</v>
      </c>
    </row>
    <row r="31" spans="1:4" x14ac:dyDescent="0.2">
      <c r="B31" t="s">
        <v>66</v>
      </c>
      <c r="C31">
        <f>C30*1000000000000</f>
        <v>0.93464797971999991</v>
      </c>
      <c r="D31" t="s">
        <v>67</v>
      </c>
    </row>
    <row r="33" spans="1:4" x14ac:dyDescent="0.2">
      <c r="A33" s="1" t="s">
        <v>68</v>
      </c>
    </row>
    <row r="34" spans="1:4" ht="15" x14ac:dyDescent="0.2">
      <c r="A34" t="s">
        <v>69</v>
      </c>
      <c r="B34" t="s">
        <v>71</v>
      </c>
      <c r="C34" s="7">
        <f>1/(_R_eff*SQRT(C30/C16))</f>
        <v>2989.5860181515704</v>
      </c>
    </row>
    <row r="38" spans="1:4" x14ac:dyDescent="0.2">
      <c r="A38" s="1" t="s">
        <v>88</v>
      </c>
      <c r="B38" t="s">
        <v>101</v>
      </c>
    </row>
    <row r="39" spans="1:4" x14ac:dyDescent="0.2">
      <c r="A39" s="1"/>
      <c r="B39" t="s">
        <v>92</v>
      </c>
      <c r="C39">
        <f>2*PI()*__f</f>
        <v>85199992.765355185</v>
      </c>
    </row>
    <row r="40" spans="1:4" x14ac:dyDescent="0.2">
      <c r="A40" s="3" t="s">
        <v>45</v>
      </c>
      <c r="B40" t="s">
        <v>93</v>
      </c>
      <c r="C40">
        <f>MAX(_R_eff,'Eingabe+Ausgabe'!C29+_R_eff)</f>
        <v>0.4905026293627926</v>
      </c>
    </row>
    <row r="41" spans="1:4" x14ac:dyDescent="0.2">
      <c r="A41" t="s">
        <v>89</v>
      </c>
      <c r="B41" t="s">
        <v>90</v>
      </c>
      <c r="C41">
        <f>1/(1-(_R_eff/250))</f>
        <v>1.0019658675703</v>
      </c>
    </row>
    <row r="42" spans="1:4" x14ac:dyDescent="0.2">
      <c r="B42" t="s">
        <v>91</v>
      </c>
      <c r="C42">
        <f>(_omega*_L*C41)^2</f>
        <v>29436.806126859457</v>
      </c>
    </row>
    <row r="43" spans="1:4" x14ac:dyDescent="0.2">
      <c r="B43" t="s">
        <v>94</v>
      </c>
      <c r="C43">
        <f>C40^2+(_omega*_L)^2*C41</f>
        <v>29379.291396467794</v>
      </c>
    </row>
    <row r="44" spans="1:4" x14ac:dyDescent="0.2">
      <c r="B44" t="s">
        <v>95</v>
      </c>
      <c r="C44">
        <f>_omega*_L*C41</f>
        <v>171.57157726983644</v>
      </c>
      <c r="D44" t="s">
        <v>99</v>
      </c>
    </row>
    <row r="45" spans="1:4" x14ac:dyDescent="0.2">
      <c r="B45" t="s">
        <v>96</v>
      </c>
      <c r="C45">
        <f>SQRT(C42-C43)+C44</f>
        <v>179.15542394495216</v>
      </c>
    </row>
    <row r="46" spans="1:4" x14ac:dyDescent="0.2">
      <c r="A46" t="s">
        <v>88</v>
      </c>
      <c r="B46" t="s">
        <v>97</v>
      </c>
      <c r="C46">
        <f>1/(_omega*C45)</f>
        <v>6.5513451616869435E-11</v>
      </c>
    </row>
    <row r="47" spans="1:4" x14ac:dyDescent="0.2">
      <c r="A47" t="s">
        <v>88</v>
      </c>
      <c r="B47" t="s">
        <v>98</v>
      </c>
      <c r="C47">
        <f>C46*1000000000000</f>
        <v>65.513451616869432</v>
      </c>
    </row>
    <row r="49" spans="1:3" x14ac:dyDescent="0.2">
      <c r="A49" s="1" t="s">
        <v>100</v>
      </c>
      <c r="B49" t="s">
        <v>101</v>
      </c>
    </row>
    <row r="50" spans="1:3" x14ac:dyDescent="0.2">
      <c r="A50" s="1"/>
      <c r="B50" t="s">
        <v>105</v>
      </c>
      <c r="C50">
        <f>_omega*_L</f>
        <v>171.23495203073733</v>
      </c>
    </row>
    <row r="51" spans="1:3" x14ac:dyDescent="0.2">
      <c r="A51" s="1"/>
      <c r="B51" t="s">
        <v>104</v>
      </c>
      <c r="C51">
        <f>_omega*C46</f>
        <v>5.5817456037907231E-3</v>
      </c>
    </row>
    <row r="52" spans="1:3" x14ac:dyDescent="0.2">
      <c r="B52" t="s">
        <v>102</v>
      </c>
      <c r="C52">
        <f>_R_eff^2+(C50-1/C51)^2</f>
        <v>62.974468173277728</v>
      </c>
    </row>
    <row r="53" spans="1:3" x14ac:dyDescent="0.2">
      <c r="B53" t="s">
        <v>103</v>
      </c>
      <c r="C53">
        <f>C50/C46*(1/C51-C50)-_R_eff^2/C46</f>
        <v>20698360443472.605</v>
      </c>
    </row>
    <row r="54" spans="1:3" x14ac:dyDescent="0.2">
      <c r="A54" t="s">
        <v>100</v>
      </c>
      <c r="B54" t="s">
        <v>97</v>
      </c>
      <c r="C54">
        <f>C52/C53</f>
        <v>3.0424858212930211E-12</v>
      </c>
    </row>
    <row r="55" spans="1:3" x14ac:dyDescent="0.2">
      <c r="B55" t="s">
        <v>98</v>
      </c>
      <c r="C55">
        <f>C54*1000000000000</f>
        <v>3.0424858212930213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35</vt:i4>
      </vt:variant>
    </vt:vector>
  </HeadingPairs>
  <TitlesOfParts>
    <vt:vector size="37" baseType="lpstr">
      <vt:lpstr>Eingabe+Ausgabe</vt:lpstr>
      <vt:lpstr>Berechnung</vt:lpstr>
      <vt:lpstr>__a0</vt:lpstr>
      <vt:lpstr>__b0</vt:lpstr>
      <vt:lpstr>__f</vt:lpstr>
      <vt:lpstr>__g</vt:lpstr>
      <vt:lpstr>__w</vt:lpstr>
      <vt:lpstr>_a_avg</vt:lpstr>
      <vt:lpstr>_a_avg_M</vt:lpstr>
      <vt:lpstr>_a0</vt:lpstr>
      <vt:lpstr>_a0_m</vt:lpstr>
      <vt:lpstr>_b_avg</vt:lpstr>
      <vt:lpstr>_b_avg_m</vt:lpstr>
      <vt:lpstr>_b0</vt:lpstr>
      <vt:lpstr>_b0_m</vt:lpstr>
      <vt:lpstr>_C</vt:lpstr>
      <vt:lpstr>_d</vt:lpstr>
      <vt:lpstr>_d_m</vt:lpstr>
      <vt:lpstr>_E</vt:lpstr>
      <vt:lpstr>_eps_r</vt:lpstr>
      <vt:lpstr>_eps0</vt:lpstr>
      <vt:lpstr>_f</vt:lpstr>
      <vt:lpstr>_g</vt:lpstr>
      <vt:lpstr>_g_m</vt:lpstr>
      <vt:lpstr>_L</vt:lpstr>
      <vt:lpstr>_mu_rel</vt:lpstr>
      <vt:lpstr>_mu0</vt:lpstr>
      <vt:lpstr>_N</vt:lpstr>
      <vt:lpstr>_omega</vt:lpstr>
      <vt:lpstr>_Q</vt:lpstr>
      <vt:lpstr>_R_eff</vt:lpstr>
      <vt:lpstr>_sigma_cu</vt:lpstr>
      <vt:lpstr>_t</vt:lpstr>
      <vt:lpstr>_t_m</vt:lpstr>
      <vt:lpstr>_t0</vt:lpstr>
      <vt:lpstr>_w</vt:lpstr>
      <vt:lpstr>_w_m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2017-10-25T10:18:00Z</dcterms:created>
  <dcterms:modified xsi:type="dcterms:W3CDTF">2017-10-25T12:56:49Z</dcterms:modified>
</cp:coreProperties>
</file>