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" sheetId="1" r:id="rId4"/>
    <sheet state="visible" name="Copy of cash_flow" sheetId="2" r:id="rId5"/>
    <sheet state="visible" name="Copy of meal_cost" sheetId="3" r:id="rId6"/>
    <sheet state="visible" name="Copy of clo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4">
      <text>
        <t xml:space="preserve">continue off
	-l1ack0der</t>
      </text>
    </comment>
    <comment authorId="0" ref="A61">
      <text>
        <t xml:space="preserve">D &amp; N continue Guest cholbe
	-l1ack0der</t>
      </text>
    </comment>
    <comment authorId="0" ref="F18">
      <text>
        <t xml:space="preserve">100 niche biddut beal er jonno
	-l1ack0der</t>
      </text>
    </comment>
    <comment authorId="0" ref="F16">
      <text>
        <t xml:space="preserve">100 niche biddut beal er jonno
	-l1ack0der</t>
      </text>
    </comment>
    <comment authorId="0" ref="A38">
      <text>
        <t xml:space="preserve">continue off
	-l1ack0der</t>
      </text>
    </comment>
    <comment authorId="0" ref="A62">
      <text>
        <t xml:space="preserve">continue off
	-l1ack0der</t>
      </text>
    </comment>
    <comment authorId="0" ref="A64">
      <text>
        <t xml:space="preserve">fix meal on thakbe
	-l1ack0der</t>
      </text>
    </comment>
    <comment authorId="0" ref="A49">
      <text>
        <t xml:space="preserve">continue off
	-l1ack0der</t>
      </text>
    </comment>
    <comment authorId="0" ref="A1">
      <text>
        <t xml:space="preserve">18 tarik theke regular routine cholbe
	-l1ack0der</t>
      </text>
    </comment>
    <comment authorId="0" ref="A42">
      <text>
        <t xml:space="preserve">hisheb. closed. lenden sesh
	-l1ack0der</t>
      </text>
    </comment>
    <comment authorId="0" ref="AW3">
      <text>
        <t xml:space="preserve">formula er karone erokom. change korar dorkar nai. amnite result: 45 ashbe. input e 1 daoa tai count erokom. 2 kore meal dhorle thik hobe. friday 2 meal kore dhora hoi tai amon.
	-l1ack0der</t>
      </text>
    </comment>
    <comment authorId="0" ref="AS23">
      <text>
        <t xml:space="preserve">picnik e silo na tai 1 meal dhora hoise
	-l1ack0der</t>
      </text>
    </comment>
    <comment authorId="0" ref="A66">
      <text>
        <t xml:space="preserve">fix meal er din=dupure on
	-l1ack0der</t>
      </text>
    </comment>
    <comment authorId="0" ref="AO40">
      <text>
        <t xml:space="preserve">choruivatir jonno meal theke tk dise
	-l1ack0der</t>
      </text>
    </comment>
    <comment authorId="0" ref="AO44">
      <text>
        <t xml:space="preserve">choruivatir jonno meal theke tk dise
	-l1ack0der</t>
      </text>
    </comment>
    <comment authorId="0" ref="AO41">
      <text>
        <t xml:space="preserve">choruivatir jonno meal theke tk dise
	-l1ack0der</t>
      </text>
    </comment>
    <comment authorId="0" ref="A65">
      <text>
        <t xml:space="preserve">all time regular but fix meal er din dupureo cholbe
	-l1ack0der</t>
      </text>
    </comment>
  </commentList>
</comments>
</file>

<file path=xl/sharedStrings.xml><?xml version="1.0" encoding="utf-8"?>
<sst xmlns="http://schemas.openxmlformats.org/spreadsheetml/2006/main" count="953" uniqueCount="443">
  <si>
    <t>Name</t>
  </si>
  <si>
    <t>Room</t>
  </si>
  <si>
    <t>Routine</t>
  </si>
  <si>
    <t>Request</t>
  </si>
  <si>
    <t>Cash In</t>
  </si>
  <si>
    <t>Date c-in</t>
  </si>
  <si>
    <t>1 Feb (sat)</t>
  </si>
  <si>
    <t>Morning</t>
  </si>
  <si>
    <t>Day</t>
  </si>
  <si>
    <t>Night</t>
  </si>
  <si>
    <t xml:space="preserve">Everyday meal count </t>
  </si>
  <si>
    <t>Total meal--&gt;</t>
  </si>
  <si>
    <t>nicher border</t>
  </si>
  <si>
    <t>Meal count/person</t>
  </si>
  <si>
    <t>Joy</t>
  </si>
  <si>
    <t>3 TIME</t>
  </si>
  <si>
    <t>1000+500+1000+500</t>
  </si>
  <si>
    <t>4Feb+13Feb+14Feb+21Feb</t>
  </si>
  <si>
    <t>Tanvir</t>
  </si>
  <si>
    <t>1000+1000+500+500</t>
  </si>
  <si>
    <t>4Feb+9Feb+18Feb+23Feb</t>
  </si>
  <si>
    <t>Mugdho</t>
  </si>
  <si>
    <t>4Feb+10Feb+18Feb+23Feb</t>
  </si>
  <si>
    <t>Nahid</t>
  </si>
  <si>
    <t>500+2500</t>
  </si>
  <si>
    <t>4Feb</t>
  </si>
  <si>
    <t>Maksudur</t>
  </si>
  <si>
    <t>2000+1000+280</t>
  </si>
  <si>
    <t>4Feb+9Feb</t>
  </si>
  <si>
    <t>Imran</t>
  </si>
  <si>
    <t>2500+200</t>
  </si>
  <si>
    <t>4Feb+23</t>
  </si>
  <si>
    <t>Arefin</t>
  </si>
  <si>
    <t>3000+500</t>
  </si>
  <si>
    <t>5Feb+24</t>
  </si>
  <si>
    <t>Jitu</t>
  </si>
  <si>
    <t>D</t>
  </si>
  <si>
    <t>Fish=Egg</t>
  </si>
  <si>
    <t>Imon</t>
  </si>
  <si>
    <t>D+N</t>
  </si>
  <si>
    <t>4Feb-25</t>
  </si>
  <si>
    <t>Jahid</t>
  </si>
  <si>
    <t>2000+1000</t>
  </si>
  <si>
    <t>4Feb+17Feb</t>
  </si>
  <si>
    <t>Naha</t>
  </si>
  <si>
    <t>8 Feb-25</t>
  </si>
  <si>
    <t>Lokman</t>
  </si>
  <si>
    <t>1500+500</t>
  </si>
  <si>
    <t>Munna</t>
  </si>
  <si>
    <t>500+600+2000</t>
  </si>
  <si>
    <t>4Feb+17Feb+23</t>
  </si>
  <si>
    <t>Nahid Hasan</t>
  </si>
  <si>
    <t>1500+1200+150</t>
  </si>
  <si>
    <t>4Feb+14Feb</t>
  </si>
  <si>
    <t>Noman</t>
  </si>
  <si>
    <t>Arif</t>
  </si>
  <si>
    <t>1000+1000</t>
  </si>
  <si>
    <t>12Feb+19Feb</t>
  </si>
  <si>
    <t>Maruf</t>
  </si>
  <si>
    <t>1000+2000</t>
  </si>
  <si>
    <t>4Feb+10Feb</t>
  </si>
  <si>
    <t>Mahmud</t>
  </si>
  <si>
    <t>1000+1000+500</t>
  </si>
  <si>
    <t>4Feb+17Feb+23Feb</t>
  </si>
  <si>
    <t>Saiful Islam</t>
  </si>
  <si>
    <t>2000+1500</t>
  </si>
  <si>
    <t>Arman</t>
  </si>
  <si>
    <t>4Feb+18Feb</t>
  </si>
  <si>
    <t>Sifat</t>
  </si>
  <si>
    <t>M+D</t>
  </si>
  <si>
    <t>400+3000</t>
  </si>
  <si>
    <t>Nuaisir</t>
  </si>
  <si>
    <t>2000+500</t>
  </si>
  <si>
    <t>Suhad</t>
  </si>
  <si>
    <t>500+1200+800</t>
  </si>
  <si>
    <t>4Feb+16Feb</t>
  </si>
  <si>
    <t>Jawad</t>
  </si>
  <si>
    <t>1000+1000+1000</t>
  </si>
  <si>
    <t>4Feb+9Feb+23</t>
  </si>
  <si>
    <t>Osman Goni</t>
  </si>
  <si>
    <t>jhatka=egg</t>
  </si>
  <si>
    <t>500+1000+1000+500</t>
  </si>
  <si>
    <t>4Feb+6Feb+23</t>
  </si>
  <si>
    <t>Naim</t>
  </si>
  <si>
    <t>Miraj</t>
  </si>
  <si>
    <t>Rakhu</t>
  </si>
  <si>
    <t>1000+900+800</t>
  </si>
  <si>
    <t>4Feb+13Feb+27</t>
  </si>
  <si>
    <t>Shopon</t>
  </si>
  <si>
    <t>2000+400</t>
  </si>
  <si>
    <t>Apon</t>
  </si>
  <si>
    <t>500+1000+600</t>
  </si>
  <si>
    <t>4Feb+9feb+16Feb</t>
  </si>
  <si>
    <t>Ridoy</t>
  </si>
  <si>
    <t>7 Feb+13Feb</t>
  </si>
  <si>
    <t>Forhad - Long</t>
  </si>
  <si>
    <t>Sihab</t>
  </si>
  <si>
    <t>1000+800+800</t>
  </si>
  <si>
    <t>4Feb+13Feb+19Feb</t>
  </si>
  <si>
    <t>Shoishob</t>
  </si>
  <si>
    <t>500+500+1000+1000</t>
  </si>
  <si>
    <t>4Feb+10Feb+17Feb</t>
  </si>
  <si>
    <t>Fahim</t>
  </si>
  <si>
    <t>parmanent off</t>
  </si>
  <si>
    <t>Sumon</t>
  </si>
  <si>
    <t>800+2000</t>
  </si>
  <si>
    <t>Anis</t>
  </si>
  <si>
    <t>sun, tue, thu = 3 bela , baki din = 2 bela</t>
  </si>
  <si>
    <t>1000+1300+700</t>
  </si>
  <si>
    <t>4Feb+9Feb+23Feb</t>
  </si>
  <si>
    <t>Parmanent off</t>
  </si>
  <si>
    <t>Murgi=Egg</t>
  </si>
  <si>
    <t>500+500</t>
  </si>
  <si>
    <t>1200+2000</t>
  </si>
  <si>
    <t>5Feb+13Feb</t>
  </si>
  <si>
    <t>500+1000+500+1000</t>
  </si>
  <si>
    <t>4Feb+6Feb+15Feb+23Feb</t>
  </si>
  <si>
    <t>Shamim</t>
  </si>
  <si>
    <t>Alamin</t>
  </si>
  <si>
    <t>4Feb+13Feb</t>
  </si>
  <si>
    <t>Muntasir</t>
  </si>
  <si>
    <t>500+330</t>
  </si>
  <si>
    <t>4Feb+6Feb+15Feb</t>
  </si>
  <si>
    <t>Rishad</t>
  </si>
  <si>
    <t>1000+500+400+200</t>
  </si>
  <si>
    <t>7Feb+17Feb+24+25</t>
  </si>
  <si>
    <t>Lotifur</t>
  </si>
  <si>
    <t>1000+500+300</t>
  </si>
  <si>
    <t>4Feb+15Feb+20Feb</t>
  </si>
  <si>
    <t>Kaosar</t>
  </si>
  <si>
    <t>300+500+700+1200</t>
  </si>
  <si>
    <t>4Feb+9Feb+25</t>
  </si>
  <si>
    <t>Akash</t>
  </si>
  <si>
    <t>500+1000+700</t>
  </si>
  <si>
    <t>4Feb+11Feb+19Feb</t>
  </si>
  <si>
    <t>745+500+600+500+500</t>
  </si>
  <si>
    <t>4Feb+7Feb+23+26</t>
  </si>
  <si>
    <t>Emon Hosen</t>
  </si>
  <si>
    <t>600+1000+1000+400+300</t>
  </si>
  <si>
    <t>4Feb+8Feb+14Feb+18Feb+20Feb+26</t>
  </si>
  <si>
    <t>Ashik</t>
  </si>
  <si>
    <t>Abdul Jobber</t>
  </si>
  <si>
    <t>4Feb+8Feb+23</t>
  </si>
  <si>
    <t>1500+900+1000</t>
  </si>
  <si>
    <t>1500+1000</t>
  </si>
  <si>
    <t>Pabel</t>
  </si>
  <si>
    <t>500+500+1000</t>
  </si>
  <si>
    <t>4Feb+9Feb+26</t>
  </si>
  <si>
    <t>Opurbo</t>
  </si>
  <si>
    <t>1400+1500</t>
  </si>
  <si>
    <t>Suraj</t>
  </si>
  <si>
    <t>2500+500</t>
  </si>
  <si>
    <t>4Feb+23Feb</t>
  </si>
  <si>
    <t>M+N</t>
  </si>
  <si>
    <t>2000+1300</t>
  </si>
  <si>
    <t>4Feb+10Feb+20Feb</t>
  </si>
  <si>
    <t>Ibrahim</t>
  </si>
  <si>
    <t>500+500+400</t>
  </si>
  <si>
    <t>11Feb+22Feb+25</t>
  </si>
  <si>
    <t>Ajij</t>
  </si>
  <si>
    <t>700+1000+500+800</t>
  </si>
  <si>
    <t>4Feb+13Feb+23Feb</t>
  </si>
  <si>
    <t>Riadul</t>
  </si>
  <si>
    <t>700+2000</t>
  </si>
  <si>
    <t>4Feb+7Feb</t>
  </si>
  <si>
    <t>Shahin Alom</t>
  </si>
  <si>
    <t>700+1000+1000+600</t>
  </si>
  <si>
    <t>Total Cash In:</t>
  </si>
  <si>
    <t>Meal count</t>
  </si>
  <si>
    <t>Total cash In</t>
  </si>
  <si>
    <t>Date</t>
  </si>
  <si>
    <t>Khala Bill</t>
  </si>
  <si>
    <t>Fridge Bill</t>
  </si>
  <si>
    <t>Water Bill</t>
  </si>
  <si>
    <t>Meal Cost</t>
  </si>
  <si>
    <t>Balance</t>
  </si>
  <si>
    <t>nicher dining trash bill/person</t>
  </si>
  <si>
    <t>3rd phase 3000</t>
  </si>
  <si>
    <t>Total Cash:</t>
  </si>
  <si>
    <t>Total Bazar Costing:</t>
  </si>
  <si>
    <t>Balance:</t>
  </si>
  <si>
    <t>Initial Meal Rate:</t>
  </si>
  <si>
    <t>Total Other Costing:</t>
  </si>
  <si>
    <t>Total Cost:</t>
  </si>
  <si>
    <t>Items</t>
  </si>
  <si>
    <t>quantity</t>
  </si>
  <si>
    <t>Cost</t>
  </si>
  <si>
    <t>Bus vara</t>
  </si>
  <si>
    <t>Jhuri</t>
  </si>
  <si>
    <t xml:space="preserve">Meal Short </t>
  </si>
  <si>
    <t>Vara</t>
  </si>
  <si>
    <t>Ankor Dal</t>
  </si>
  <si>
    <t xml:space="preserve">5kg </t>
  </si>
  <si>
    <t>Polar Chal</t>
  </si>
  <si>
    <t>13kg</t>
  </si>
  <si>
    <t>Gajor</t>
  </si>
  <si>
    <t>5kg</t>
  </si>
  <si>
    <t>No Cost</t>
  </si>
  <si>
    <t>oil</t>
  </si>
  <si>
    <t>7.5kg</t>
  </si>
  <si>
    <t>lau</t>
  </si>
  <si>
    <t>6 p</t>
  </si>
  <si>
    <t>egg</t>
  </si>
  <si>
    <t>20 p</t>
  </si>
  <si>
    <t>phone</t>
  </si>
  <si>
    <t>porata</t>
  </si>
  <si>
    <t>120 p</t>
  </si>
  <si>
    <t>alu</t>
  </si>
  <si>
    <t>88 kg</t>
  </si>
  <si>
    <t>no cost</t>
  </si>
  <si>
    <t>gas tanuni</t>
  </si>
  <si>
    <t>dhonia gura</t>
  </si>
  <si>
    <t>8 kg</t>
  </si>
  <si>
    <t>pata kopi</t>
  </si>
  <si>
    <t xml:space="preserve">3p </t>
  </si>
  <si>
    <t>gas</t>
  </si>
  <si>
    <t>2p</t>
  </si>
  <si>
    <t>meal short</t>
  </si>
  <si>
    <t>murgir moshla</t>
  </si>
  <si>
    <t>5 p</t>
  </si>
  <si>
    <t xml:space="preserve">meal short </t>
  </si>
  <si>
    <t>shaner gura</t>
  </si>
  <si>
    <t>tometo</t>
  </si>
  <si>
    <t>Polythen+ bosta</t>
  </si>
  <si>
    <t>Tool</t>
  </si>
  <si>
    <t>Misti Kumra</t>
  </si>
  <si>
    <t>3kg</t>
  </si>
  <si>
    <t>Fish</t>
  </si>
  <si>
    <t>14kg</t>
  </si>
  <si>
    <t>Dim</t>
  </si>
  <si>
    <t>100piece</t>
  </si>
  <si>
    <t>Tel</t>
  </si>
  <si>
    <t>Gorom Masala</t>
  </si>
  <si>
    <t>Dhoner Gura</t>
  </si>
  <si>
    <t>500g</t>
  </si>
  <si>
    <t>misti kumra</t>
  </si>
  <si>
    <t>5 kg</t>
  </si>
  <si>
    <t>egg with kace</t>
  </si>
  <si>
    <t>rice</t>
  </si>
  <si>
    <t>10 bosta</t>
  </si>
  <si>
    <t>condra fish</t>
  </si>
  <si>
    <t>9.8 kg</t>
  </si>
  <si>
    <t>moric</t>
  </si>
  <si>
    <t>0.5 kg</t>
  </si>
  <si>
    <t>trash bill</t>
  </si>
  <si>
    <t>holud</t>
  </si>
  <si>
    <t>500 gm</t>
  </si>
  <si>
    <t>ful kopi</t>
  </si>
  <si>
    <t>12 p</t>
  </si>
  <si>
    <t>7.4 kg</t>
  </si>
  <si>
    <t>sada moshla</t>
  </si>
  <si>
    <t>moshur daal</t>
  </si>
  <si>
    <t>mudi bajar</t>
  </si>
  <si>
    <t>gass tanuni</t>
  </si>
  <si>
    <t>gari vara</t>
  </si>
  <si>
    <t>Roshun</t>
  </si>
  <si>
    <t>2kg</t>
  </si>
  <si>
    <t>Fanel</t>
  </si>
  <si>
    <t>Refrigerator(Uthano)</t>
  </si>
  <si>
    <t>Fish Cut</t>
  </si>
  <si>
    <t>Fish Masala</t>
  </si>
  <si>
    <t>6piece</t>
  </si>
  <si>
    <t>Maagi Masala</t>
  </si>
  <si>
    <t>5ta</t>
  </si>
  <si>
    <t>Sosa</t>
  </si>
  <si>
    <t>Meal short</t>
  </si>
  <si>
    <t>lal shak</t>
  </si>
  <si>
    <t>7 kg</t>
  </si>
  <si>
    <t>mixed fish</t>
  </si>
  <si>
    <t>18.5 kg</t>
  </si>
  <si>
    <t>gass</t>
  </si>
  <si>
    <t>gajor</t>
  </si>
  <si>
    <t>chaler bosta uthano</t>
  </si>
  <si>
    <t>chal</t>
  </si>
  <si>
    <t>2 bosta</t>
  </si>
  <si>
    <t>enkor daal</t>
  </si>
  <si>
    <t>printout</t>
  </si>
  <si>
    <t>Piyaj</t>
  </si>
  <si>
    <t>Vim</t>
  </si>
  <si>
    <t>liquet</t>
  </si>
  <si>
    <t>Phone(Usage)</t>
  </si>
  <si>
    <t>Polythen</t>
  </si>
  <si>
    <t>Murgi Masala</t>
  </si>
  <si>
    <t>12piece</t>
  </si>
  <si>
    <t>Roast Masala</t>
  </si>
  <si>
    <t>6ta</t>
  </si>
  <si>
    <t>Lebu</t>
  </si>
  <si>
    <t>26piece</t>
  </si>
  <si>
    <t>Gass</t>
  </si>
  <si>
    <t>piajer koli</t>
  </si>
  <si>
    <t>2 kg</t>
  </si>
  <si>
    <t>katol fish</t>
  </si>
  <si>
    <t>12.2 kg</t>
  </si>
  <si>
    <t>sorisa oil</t>
  </si>
  <si>
    <t>1 kg</t>
  </si>
  <si>
    <t>200 p</t>
  </si>
  <si>
    <t>sim</t>
  </si>
  <si>
    <t xml:space="preserve">light </t>
  </si>
  <si>
    <t>pijer koli</t>
  </si>
  <si>
    <t>piaj</t>
  </si>
  <si>
    <t>murgi</t>
  </si>
  <si>
    <t>Misti kumra</t>
  </si>
  <si>
    <t>6kg 60g</t>
  </si>
  <si>
    <t>Murgi</t>
  </si>
  <si>
    <t>9kg 700g</t>
  </si>
  <si>
    <t>Chal+Gas(Ex-manager)</t>
  </si>
  <si>
    <t>Tomato</t>
  </si>
  <si>
    <t>Kacha Morich</t>
  </si>
  <si>
    <t>Gass uthano</t>
  </si>
  <si>
    <t>84 kg</t>
  </si>
  <si>
    <t>kumar</t>
  </si>
  <si>
    <t>1 p</t>
  </si>
  <si>
    <t>gorom moshla</t>
  </si>
  <si>
    <t>pakistani murgi</t>
  </si>
  <si>
    <t>9.9 kg</t>
  </si>
  <si>
    <t>pepe</t>
  </si>
  <si>
    <t>nicher dining gas</t>
  </si>
  <si>
    <t>tehri moshla</t>
  </si>
  <si>
    <t>sosha</t>
  </si>
  <si>
    <t>Lau</t>
  </si>
  <si>
    <t>3kg 700g</t>
  </si>
  <si>
    <t>Lobon</t>
  </si>
  <si>
    <t>15kg</t>
  </si>
  <si>
    <t>Sorisa Tel</t>
  </si>
  <si>
    <t>Tok Doi</t>
  </si>
  <si>
    <t>1kg</t>
  </si>
  <si>
    <t>boro daal</t>
  </si>
  <si>
    <t>10 kg</t>
  </si>
  <si>
    <t xml:space="preserve">fulkopi </t>
  </si>
  <si>
    <t>kaca moric</t>
  </si>
  <si>
    <t>dining charge</t>
  </si>
  <si>
    <t>tometu</t>
  </si>
  <si>
    <t>ful copi + badha copi</t>
  </si>
  <si>
    <t>10piece</t>
  </si>
  <si>
    <t>Rosun</t>
  </si>
  <si>
    <t>4kg</t>
  </si>
  <si>
    <t>25kg</t>
  </si>
  <si>
    <t xml:space="preserve">Murgi </t>
  </si>
  <si>
    <t>34kg</t>
  </si>
  <si>
    <t>Gura Morich</t>
  </si>
  <si>
    <t>alu tana</t>
  </si>
  <si>
    <t>moshla</t>
  </si>
  <si>
    <t>patakopi</t>
  </si>
  <si>
    <t>3 kg</t>
  </si>
  <si>
    <t>polar chal</t>
  </si>
  <si>
    <t>Dhonia patha</t>
  </si>
  <si>
    <t>Morich</t>
  </si>
  <si>
    <t>Sim</t>
  </si>
  <si>
    <t xml:space="preserve">4kg </t>
  </si>
  <si>
    <t>Lal Shak</t>
  </si>
  <si>
    <t>6kg</t>
  </si>
  <si>
    <t>jira</t>
  </si>
  <si>
    <t xml:space="preserve">sim </t>
  </si>
  <si>
    <t xml:space="preserve">5 kg </t>
  </si>
  <si>
    <t>kolmi shak</t>
  </si>
  <si>
    <t>vim</t>
  </si>
  <si>
    <t>7 p</t>
  </si>
  <si>
    <t>tok doi</t>
  </si>
  <si>
    <t>Alu</t>
  </si>
  <si>
    <t>80kg</t>
  </si>
  <si>
    <t>Ada</t>
  </si>
  <si>
    <t>1/2kg</t>
  </si>
  <si>
    <t>Ful Copi</t>
  </si>
  <si>
    <t>Chal</t>
  </si>
  <si>
    <t>5bosta</t>
  </si>
  <si>
    <t>6peiece</t>
  </si>
  <si>
    <t>Majuni</t>
  </si>
  <si>
    <t>rosun</t>
  </si>
  <si>
    <t>tanuni</t>
  </si>
  <si>
    <t>polaor chal</t>
  </si>
  <si>
    <t>14 kg</t>
  </si>
  <si>
    <t>8.5 kg</t>
  </si>
  <si>
    <t>dudh</t>
  </si>
  <si>
    <t>5Bosta</t>
  </si>
  <si>
    <t>Bosta</t>
  </si>
  <si>
    <t>2ta</t>
  </si>
  <si>
    <t>1ta</t>
  </si>
  <si>
    <t>Dal Khunti</t>
  </si>
  <si>
    <t xml:space="preserve">Tomato Sauce </t>
  </si>
  <si>
    <t>500ml</t>
  </si>
  <si>
    <t>mac kata</t>
  </si>
  <si>
    <t xml:space="preserve">sauce </t>
  </si>
  <si>
    <t>Shukna morich</t>
  </si>
  <si>
    <t>Gas</t>
  </si>
  <si>
    <t>fulkopi</t>
  </si>
  <si>
    <t>51 kg</t>
  </si>
  <si>
    <t>vara</t>
  </si>
  <si>
    <t>tej pata</t>
  </si>
  <si>
    <t>chini</t>
  </si>
  <si>
    <t>Auto vara</t>
  </si>
  <si>
    <t>Meal Short</t>
  </si>
  <si>
    <t>Pad Khata</t>
  </si>
  <si>
    <t>mushuri daal</t>
  </si>
  <si>
    <t>25 kg</t>
  </si>
  <si>
    <t>mojo</t>
  </si>
  <si>
    <t xml:space="preserve">Lobon </t>
  </si>
  <si>
    <t>2 packet</t>
  </si>
  <si>
    <t>poli</t>
  </si>
  <si>
    <t>bikri</t>
  </si>
  <si>
    <t>Khata + sticky Note</t>
  </si>
  <si>
    <t>bosta</t>
  </si>
  <si>
    <t>Moshur Dal</t>
  </si>
  <si>
    <t>soto mac</t>
  </si>
  <si>
    <t>fish</t>
  </si>
  <si>
    <t>40 p</t>
  </si>
  <si>
    <t>Morich Gura</t>
  </si>
  <si>
    <t>7.5 kg</t>
  </si>
  <si>
    <t>61 p</t>
  </si>
  <si>
    <t>Holud Gura</t>
  </si>
  <si>
    <t>piaj bikri onno mass er kasee</t>
  </si>
  <si>
    <t>Jira</t>
  </si>
  <si>
    <t>Dhonia Gura</t>
  </si>
  <si>
    <t>250g</t>
  </si>
  <si>
    <t>barti silo</t>
  </si>
  <si>
    <t>Elach</t>
  </si>
  <si>
    <t>Lobongo</t>
  </si>
  <si>
    <t>25g</t>
  </si>
  <si>
    <t>Dharchini</t>
  </si>
  <si>
    <t>100g</t>
  </si>
  <si>
    <t>Tej Patha</t>
  </si>
  <si>
    <t>Murgi Mosla</t>
  </si>
  <si>
    <t>5piece</t>
  </si>
  <si>
    <t>8litter</t>
  </si>
  <si>
    <t>3kg 720g</t>
  </si>
  <si>
    <t>pabe</t>
  </si>
  <si>
    <t>pabo</t>
  </si>
  <si>
    <t xml:space="preserve">balance </t>
  </si>
  <si>
    <t>Bill</t>
  </si>
  <si>
    <t>Total Meal</t>
  </si>
  <si>
    <t>Total Cost</t>
  </si>
  <si>
    <t>Give/Take</t>
  </si>
  <si>
    <t>dibo</t>
  </si>
  <si>
    <t>dise</t>
  </si>
  <si>
    <t>baki</t>
  </si>
  <si>
    <t>done?</t>
  </si>
  <si>
    <t xml:space="preserve">Total Cash In = </t>
  </si>
  <si>
    <t>Total Bazar Cost =</t>
  </si>
  <si>
    <t>ekhono pabe</t>
  </si>
  <si>
    <t>Meal Rate =</t>
  </si>
  <si>
    <t>Total Meal =</t>
  </si>
  <si>
    <t>Total</t>
  </si>
  <si>
    <t>done</t>
  </si>
  <si>
    <t>munna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</si>
</sst>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D\ MMM"/>
  </numFmts>
  <fonts count="15">
    <font>
      <sz val="10.0"/>
      <color rgb="FF000000"/>
      <name val="Arial"/>
      <scheme val="minor"/>
    </font>
    <font>
      <sz val="16.0"/>
      <color theme="1"/>
      <name val="Arial"/>
    </font>
    <font>
      <sz val="16.0"/>
      <color theme="1"/>
      <name val="Arial"/>
      <scheme val="minor"/>
    </font>
    <font/>
    <font>
      <sz val="15.0"/>
      <color theme="1"/>
      <name val="Arial"/>
      <scheme val="minor"/>
    </font>
    <font>
      <sz val="18.0"/>
      <color theme="1"/>
      <name val="Arial"/>
      <scheme val="minor"/>
    </font>
    <font>
      <b/>
      <sz val="16.0"/>
      <color theme="1"/>
      <name val="Arial"/>
      <scheme val="minor"/>
    </font>
    <font>
      <sz val="16.0"/>
      <color rgb="FF000000"/>
      <name val="Arial"/>
      <scheme val="minor"/>
    </font>
    <font>
      <sz val="16.0"/>
      <color theme="0"/>
      <name val="Arial"/>
      <scheme val="minor"/>
    </font>
    <font>
      <sz val="15.0"/>
      <color theme="1"/>
      <name val="Arial"/>
    </font>
    <font>
      <sz val="15.0"/>
      <color rgb="FF000000"/>
      <name val="Arial"/>
    </font>
    <font>
      <b/>
      <sz val="15.0"/>
      <color rgb="FF000000"/>
      <name val="Arial"/>
    </font>
    <font>
      <sz val="15.0"/>
      <color theme="0"/>
      <name val="Arial"/>
      <scheme val="minor"/>
    </font>
    <font>
      <b/>
      <sz val="15.0"/>
      <color theme="1"/>
      <name val="Arial"/>
      <scheme val="minor"/>
    </font>
    <font>
      <i/>
      <sz val="15.0"/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rgb="FF4A86E8"/>
        <bgColor rgb="FF4A86E8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1" fillId="4" fontId="1" numFmtId="0" xfId="0" applyAlignment="1" applyBorder="1" applyFill="1" applyFont="1">
      <alignment horizontal="center" readingOrder="0" shrinkToFit="0" vertical="center" wrapText="0"/>
    </xf>
    <xf borderId="1" fillId="5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6" fontId="1" numFmtId="0" xfId="0" applyAlignment="1" applyBorder="1" applyFill="1" applyFont="1">
      <alignment horizontal="center" readingOrder="0" shrinkToFit="0" vertical="center" wrapText="0"/>
    </xf>
    <xf borderId="1" fillId="6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6" fontId="2" numFmtId="49" xfId="0" applyAlignment="1" applyBorder="1" applyFont="1" applyNumberFormat="1">
      <alignment horizontal="center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1" numFmtId="1" xfId="0" applyAlignment="1" applyBorder="1" applyFont="1" applyNumberFormat="1">
      <alignment horizontal="center" readingOrder="0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6" fontId="2" numFmtId="49" xfId="0" applyAlignment="1" applyBorder="1" applyFont="1" applyNumberFormat="1">
      <alignment horizontal="center" readingOrder="0" shrinkToFit="0" vertical="center" wrapText="0"/>
    </xf>
    <xf borderId="1" fillId="6" fontId="1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6" fontId="1" numFmtId="1" xfId="0" applyAlignment="1" applyBorder="1" applyFont="1" applyNumberFormat="1">
      <alignment horizontal="center" readingOrder="0" shrinkToFit="0" vertical="center" wrapText="0"/>
    </xf>
    <xf borderId="1" fillId="6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4" fontId="4" numFmtId="0" xfId="0" applyAlignment="1" applyBorder="1" applyFont="1">
      <alignment horizontal="center" readingOrder="0" shrinkToFit="0" vertical="center" wrapText="0"/>
    </xf>
    <xf borderId="1" fillId="8" fontId="4" numFmtId="0" xfId="0" applyAlignment="1" applyBorder="1" applyFill="1" applyFont="1">
      <alignment horizontal="center" readingOrder="0" shrinkToFit="0" vertical="center" wrapText="0"/>
    </xf>
    <xf borderId="1" fillId="9" fontId="4" numFmtId="0" xfId="0" applyAlignment="1" applyBorder="1" applyFill="1" applyFont="1">
      <alignment horizontal="center" readingOrder="0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1" fillId="8" fontId="2" numFmtId="0" xfId="0" applyAlignment="1" applyBorder="1" applyFont="1">
      <alignment horizontal="center" readingOrder="0" shrinkToFit="0" vertical="center" wrapText="0"/>
    </xf>
    <xf borderId="1" fillId="10" fontId="2" numFmtId="0" xfId="0" applyAlignment="1" applyBorder="1" applyFill="1" applyFont="1">
      <alignment horizontal="center" readingOrder="0" shrinkToFit="0" vertical="center" wrapText="0"/>
    </xf>
    <xf borderId="1" fillId="11" fontId="8" numFmtId="0" xfId="0" applyAlignment="1" applyBorder="1" applyFill="1" applyFont="1">
      <alignment horizontal="center" readingOrder="0" shrinkToFit="0" vertical="center" wrapText="0"/>
    </xf>
    <xf borderId="1" fillId="2" fontId="7" numFmtId="0" xfId="0" applyAlignment="1" applyBorder="1" applyFont="1">
      <alignment horizontal="center" readingOrder="0" shrinkToFit="0" vertical="center" wrapText="0"/>
    </xf>
    <xf borderId="1" fillId="6" fontId="2" numFmtId="0" xfId="0" applyAlignment="1" applyBorder="1" applyFont="1">
      <alignment horizontal="center" readingOrder="0" shrinkToFit="0" vertical="center" wrapText="0"/>
    </xf>
    <xf borderId="1" fillId="12" fontId="2" numFmtId="0" xfId="0" applyAlignment="1" applyBorder="1" applyFill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1" fillId="0" fontId="4" numFmtId="49" xfId="0" applyAlignment="1" applyBorder="1" applyFont="1" applyNumberFormat="1">
      <alignment horizontal="center" readingOrder="0" shrinkToFit="0" vertical="center" wrapText="0"/>
    </xf>
    <xf borderId="1" fillId="0" fontId="2" numFmtId="1" xfId="0" applyAlignment="1" applyBorder="1" applyFont="1" applyNumberForma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4" numFmtId="49" xfId="0" applyAlignment="1" applyBorder="1" applyFont="1" applyNumberFormat="1">
      <alignment horizontal="center" shrinkToFit="0" vertical="center" wrapText="0"/>
    </xf>
    <xf borderId="1" fillId="0" fontId="1" numFmtId="0" xfId="0" applyAlignment="1" applyBorder="1" applyFont="1">
      <alignment horizontal="center" shrinkToFit="0" wrapText="0"/>
    </xf>
    <xf borderId="1" fillId="6" fontId="1" numFmtId="0" xfId="0" applyAlignment="1" applyBorder="1" applyFont="1">
      <alignment horizontal="center" shrinkToFit="0" vertical="bottom" wrapText="0"/>
    </xf>
    <xf borderId="1" fillId="6" fontId="9" numFmtId="0" xfId="0" applyAlignment="1" applyBorder="1" applyFont="1">
      <alignment horizontal="center" shrinkToFit="0" vertical="center" wrapText="0"/>
    </xf>
    <xf borderId="1" fillId="6" fontId="4" numFmtId="0" xfId="0" applyAlignment="1" applyBorder="1" applyFont="1">
      <alignment horizontal="center" readingOrder="0" shrinkToFit="0" vertical="center" wrapText="0"/>
    </xf>
    <xf borderId="1" fillId="6" fontId="4" numFmtId="49" xfId="0" applyAlignment="1" applyBorder="1" applyFont="1" applyNumberFormat="1">
      <alignment horizontal="center" readingOrder="0" shrinkToFit="0" vertical="center" wrapText="0"/>
    </xf>
    <xf borderId="1" fillId="6" fontId="7" numFmtId="0" xfId="0" applyAlignment="1" applyBorder="1" applyFont="1">
      <alignment horizontal="center" readingOrder="0" shrinkToFit="0" vertical="center" wrapText="0"/>
    </xf>
    <xf borderId="4" fillId="6" fontId="2" numFmtId="0" xfId="0" applyAlignment="1" applyBorder="1" applyFont="1">
      <alignment horizontal="center" readingOrder="0" shrinkToFit="0" vertical="center" wrapText="0"/>
    </xf>
    <xf borderId="1" fillId="6" fontId="2" numFmtId="1" xfId="0" applyAlignment="1" applyBorder="1" applyFont="1" applyNumberFormat="1">
      <alignment horizontal="center" readingOrder="0" shrinkToFit="0" vertical="center" wrapText="0"/>
    </xf>
    <xf borderId="1" fillId="6" fontId="2" numFmtId="0" xfId="0" applyAlignment="1" applyBorder="1" applyFont="1">
      <alignment horizontal="center" shrinkToFit="0" vertical="center" wrapText="0"/>
    </xf>
    <xf borderId="1" fillId="6" fontId="2" numFmtId="1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4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1" xfId="0" applyAlignment="1" applyFont="1" applyNumberForma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2" fillId="8" fontId="10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wrapText="0"/>
    </xf>
    <xf borderId="2" fillId="7" fontId="10" numFmtId="0" xfId="0" applyAlignment="1" applyBorder="1" applyFont="1">
      <alignment horizontal="center" readingOrder="0" shrinkToFit="0" vertical="bottom" wrapText="0"/>
    </xf>
    <xf borderId="2" fillId="2" fontId="10" numFmtId="3" xfId="0" applyAlignment="1" applyBorder="1" applyFont="1" applyNumberFormat="1">
      <alignment horizontal="center" readingOrder="0" shrinkToFit="0" vertical="bottom" wrapText="0"/>
    </xf>
    <xf borderId="1" fillId="0" fontId="11" numFmtId="3" xfId="0" applyAlignment="1" applyBorder="1" applyFont="1" applyNumberForma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bottom" wrapText="0"/>
    </xf>
    <xf borderId="0" fillId="11" fontId="12" numFmtId="0" xfId="0" applyAlignment="1" applyFont="1">
      <alignment horizontal="center" readingOrder="0" shrinkToFit="0" wrapText="0"/>
    </xf>
    <xf borderId="1" fillId="0" fontId="13" numFmtId="164" xfId="0" applyAlignment="1" applyBorder="1" applyFont="1" applyNumberFormat="1">
      <alignment horizontal="center" shrinkToFit="0" vertical="center" wrapText="0"/>
    </xf>
    <xf borderId="1" fillId="0" fontId="10" numFmtId="3" xfId="0" applyAlignment="1" applyBorder="1" applyFont="1" applyNumberFormat="1">
      <alignment horizontal="center" shrinkToFit="0" vertical="bottom" wrapText="0"/>
    </xf>
    <xf borderId="2" fillId="7" fontId="4" numFmtId="0" xfId="0" applyAlignment="1" applyBorder="1" applyFont="1">
      <alignment horizontal="center" readingOrder="0" shrinkToFit="0" wrapText="0"/>
    </xf>
    <xf borderId="1" fillId="0" fontId="11" numFmtId="0" xfId="0" applyAlignment="1" applyBorder="1" applyFont="1">
      <alignment horizontal="center" shrinkToFit="0" vertical="bottom" wrapText="0"/>
    </xf>
    <xf borderId="2" fillId="0" fontId="10" numFmtId="165" xfId="0" applyAlignment="1" applyBorder="1" applyFont="1" applyNumberFormat="1">
      <alignment horizontal="center" readingOrder="0" shrinkToFit="0" vertical="bottom" wrapText="0"/>
    </xf>
    <xf borderId="2" fillId="0" fontId="10" numFmtId="0" xfId="0" applyAlignment="1" applyBorder="1" applyFont="1">
      <alignment horizontal="center" shrinkToFit="0" vertical="bottom" wrapText="0"/>
    </xf>
    <xf borderId="1" fillId="2" fontId="10" numFmtId="0" xfId="0" applyAlignment="1" applyBorder="1" applyFont="1">
      <alignment horizontal="center" shrinkToFit="0" vertical="center" wrapText="0"/>
    </xf>
    <xf borderId="1" fillId="8" fontId="10" numFmtId="0" xfId="0" applyAlignment="1" applyBorder="1" applyFont="1">
      <alignment horizontal="center" shrinkToFit="0" vertical="center" wrapText="0"/>
    </xf>
    <xf borderId="1" fillId="13" fontId="10" numFmtId="0" xfId="0" applyAlignment="1" applyBorder="1" applyFill="1" applyFont="1">
      <alignment horizontal="center" shrinkToFit="0" vertical="center" wrapText="0"/>
    </xf>
    <xf borderId="2" fillId="0" fontId="10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shrinkToFit="0" vertical="bottom" wrapText="0"/>
    </xf>
    <xf borderId="2" fillId="4" fontId="10" numFmtId="0" xfId="0" applyAlignment="1" applyBorder="1" applyFont="1">
      <alignment horizontal="center" readingOrder="0" shrinkToFit="0" vertical="bottom" wrapText="0"/>
    </xf>
    <xf borderId="6" fillId="8" fontId="14" numFmtId="0" xfId="0" applyAlignment="1" applyBorder="1" applyFont="1">
      <alignment horizontal="center" readingOrder="0" shrinkToFit="0" vertical="center" wrapText="0"/>
    </xf>
    <xf borderId="7" fillId="0" fontId="3" numFmtId="0" xfId="0" applyBorder="1" applyFont="1"/>
    <xf borderId="8" fillId="0" fontId="3" numFmtId="0" xfId="0" applyBorder="1" applyFont="1"/>
    <xf borderId="1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readingOrder="0" shrinkToFit="0" wrapText="0"/>
    </xf>
    <xf borderId="9" fillId="0" fontId="3" numFmtId="0" xfId="0" applyBorder="1" applyFont="1"/>
    <xf borderId="10" fillId="0" fontId="3" numFmtId="0" xfId="0" applyBorder="1" applyFont="1"/>
    <xf borderId="1" fillId="7" fontId="4" numFmtId="0" xfId="0" applyAlignment="1" applyBorder="1" applyFont="1">
      <alignment horizontal="center" readingOrder="0" shrinkToFit="0" wrapText="0"/>
    </xf>
    <xf borderId="1" fillId="7" fontId="4" numFmtId="0" xfId="0" applyAlignment="1" applyBorder="1" applyFont="1">
      <alignment horizontal="center" shrinkToFit="0" wrapText="0"/>
    </xf>
    <xf borderId="2" fillId="0" fontId="10" numFmtId="0" xfId="0" applyAlignment="1" applyBorder="1" applyFont="1">
      <alignment horizontal="center" readingOrder="0" shrinkToFit="0" vertical="bottom" wrapText="0"/>
    </xf>
    <xf borderId="2" fillId="4" fontId="10" numFmtId="0" xfId="0" applyAlignment="1" applyBorder="1" applyFont="1">
      <alignment horizontal="center" readingOrder="0" shrinkToFit="0" vertical="center" wrapText="0"/>
    </xf>
    <xf borderId="1" fillId="4" fontId="4" numFmtId="0" xfId="0" applyAlignment="1" applyBorder="1" applyFont="1">
      <alignment horizontal="center" readingOrder="0" shrinkToFit="0" wrapText="0"/>
    </xf>
    <xf borderId="1" fillId="4" fontId="4" numFmtId="0" xfId="0" applyAlignment="1" applyBorder="1" applyFont="1">
      <alignment horizontal="center" shrinkToFit="0" wrapText="0"/>
    </xf>
    <xf borderId="2" fillId="0" fontId="4" numFmtId="0" xfId="0" applyAlignment="1" applyBorder="1" applyFont="1">
      <alignment horizontal="center" readingOrder="0" shrinkToFit="0" wrapText="0"/>
    </xf>
    <xf borderId="1" fillId="0" fontId="10" numFmtId="0" xfId="0" applyAlignment="1" applyBorder="1" applyFont="1">
      <alignment horizontal="center" readingOrder="0" shrinkToFit="0" vertical="center" wrapText="0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2" fillId="2" fontId="4" numFmtId="0" xfId="0" applyAlignment="1" applyBorder="1" applyFont="1">
      <alignment horizontal="center" readingOrder="0" shrinkToFit="0" wrapText="0"/>
    </xf>
    <xf borderId="2" fillId="0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 vertical="center"/>
    </xf>
    <xf borderId="1" fillId="14" fontId="2" numFmtId="1" xfId="0" applyAlignment="1" applyBorder="1" applyFill="1" applyFont="1" applyNumberFormat="1">
      <alignment horizontal="center" vertical="center"/>
    </xf>
    <xf borderId="1" fillId="0" fontId="2" numFmtId="0" xfId="0" applyBorder="1" applyFont="1"/>
    <xf borderId="1" fillId="15" fontId="2" numFmtId="1" xfId="0" applyAlignment="1" applyBorder="1" applyFill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0" fontId="6" numFmtId="0" xfId="0" applyAlignment="1" applyBorder="1" applyFont="1">
      <alignment horizontal="center" readingOrder="0" vertical="center"/>
    </xf>
    <xf borderId="1" fillId="16" fontId="2" numFmtId="0" xfId="0" applyAlignment="1" applyBorder="1" applyFill="1" applyFont="1">
      <alignment horizontal="center" readingOrder="0" vertical="center"/>
    </xf>
    <xf borderId="1" fillId="16" fontId="2" numFmtId="0" xfId="0" applyAlignment="1" applyBorder="1" applyFont="1">
      <alignment horizontal="center" readingOrder="0"/>
    </xf>
    <xf borderId="6" fillId="17" fontId="2" numFmtId="0" xfId="0" applyAlignment="1" applyBorder="1" applyFill="1" applyFont="1">
      <alignment horizontal="center" readingOrder="0" vertical="center"/>
    </xf>
    <xf borderId="7" fillId="17" fontId="3" numFmtId="0" xfId="0" applyBorder="1" applyFont="1"/>
    <xf borderId="8" fillId="17" fontId="3" numFmtId="0" xfId="0" applyBorder="1" applyFont="1"/>
    <xf borderId="5" fillId="17" fontId="2" numFmtId="0" xfId="0" applyAlignment="1" applyBorder="1" applyFont="1">
      <alignment horizontal="center" vertical="center"/>
    </xf>
    <xf borderId="5" fillId="17" fontId="2" numFmtId="0" xfId="0" applyAlignment="1" applyBorder="1" applyFont="1">
      <alignment horizontal="center" readingOrder="0" vertical="center"/>
    </xf>
    <xf borderId="1" fillId="17" fontId="2" numFmtId="0" xfId="0" applyAlignment="1" applyBorder="1" applyFont="1">
      <alignment horizontal="center" readingOrder="0" vertical="center"/>
    </xf>
    <xf borderId="11" fillId="18" fontId="3" numFmtId="0" xfId="0" applyBorder="1" applyFill="1" applyFont="1"/>
    <xf borderId="12" fillId="18" fontId="3" numFmtId="0" xfId="0" applyBorder="1" applyFont="1"/>
    <xf borderId="13" fillId="18" fontId="3" numFmtId="0" xfId="0" applyBorder="1" applyFont="1"/>
    <xf borderId="14" fillId="18" fontId="3" numFmtId="0" xfId="0" applyBorder="1" applyFont="1"/>
    <xf borderId="2" fillId="18" fontId="2" numFmtId="0" xfId="0" applyAlignment="1" applyBorder="1" applyFont="1">
      <alignment horizontal="center" readingOrder="0" vertical="center"/>
    </xf>
    <xf borderId="4" fillId="18" fontId="3" numFmtId="0" xfId="0" applyBorder="1" applyFont="1"/>
    <xf borderId="1" fillId="18" fontId="2" numFmtId="1" xfId="0" applyAlignment="1" applyBorder="1" applyFont="1" applyNumberFormat="1">
      <alignment horizontal="center" readingOrder="0" vertical="center"/>
    </xf>
    <xf borderId="1" fillId="18" fontId="2" numFmtId="0" xfId="0" applyAlignment="1" applyBorder="1" applyFont="1">
      <alignment horizontal="center" readingOrder="0" vertical="center"/>
    </xf>
    <xf borderId="5" fillId="17" fontId="2" numFmtId="2" xfId="0" applyAlignment="1" applyBorder="1" applyFont="1" applyNumberFormat="1">
      <alignment horizontal="center" readingOrder="0" vertical="center"/>
    </xf>
    <xf borderId="0" fillId="19" fontId="7" numFmtId="1" xfId="0" applyAlignment="1" applyFill="1" applyFont="1" applyNumberFormat="1">
      <alignment horizontal="center"/>
    </xf>
    <xf borderId="1" fillId="20" fontId="2" numFmtId="0" xfId="0" applyAlignment="1" applyBorder="1" applyFill="1" applyFont="1">
      <alignment horizontal="center" readingOrder="0" vertical="center"/>
    </xf>
    <xf borderId="1" fillId="20" fontId="2" numFmtId="2" xfId="0" applyAlignment="1" applyBorder="1" applyFont="1" applyNumberFormat="1">
      <alignment horizontal="center" readingOrder="0" vertical="center"/>
    </xf>
    <xf borderId="1" fillId="20" fontId="6" numFmtId="0" xfId="0" applyAlignment="1" applyBorder="1" applyFont="1">
      <alignment horizontal="center" readingOrder="0" vertical="center"/>
    </xf>
    <xf borderId="1" fillId="18" fontId="1" numFmtId="0" xfId="0" applyAlignment="1" applyBorder="1" applyFont="1">
      <alignment horizontal="center" shrinkToFit="0" vertical="center" wrapText="0"/>
    </xf>
    <xf borderId="1" fillId="18" fontId="2" numFmtId="0" xfId="0" applyAlignment="1" applyBorder="1" applyFont="1">
      <alignment horizontal="center" vertical="center"/>
    </xf>
    <xf borderId="1" fillId="18" fontId="2" numFmtId="1" xfId="0" applyAlignment="1" applyBorder="1" applyFont="1" applyNumberFormat="1">
      <alignment horizontal="center" vertical="center"/>
    </xf>
    <xf borderId="1" fillId="17" fontId="1" numFmtId="0" xfId="0" applyAlignment="1" applyBorder="1" applyFont="1">
      <alignment horizontal="center" shrinkToFit="0" vertical="center" wrapText="0"/>
    </xf>
    <xf borderId="1" fillId="17" fontId="2" numFmtId="0" xfId="0" applyAlignment="1" applyBorder="1" applyFont="1">
      <alignment horizontal="center" vertical="center"/>
    </xf>
    <xf borderId="1" fillId="17" fontId="2" numFmtId="1" xfId="0" applyAlignment="1" applyBorder="1" applyFont="1" applyNumberFormat="1">
      <alignment horizontal="center" vertical="center"/>
    </xf>
    <xf borderId="1" fillId="18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12">
    <dxf>
      <font>
        <b/>
        <color rgb="FFFF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  <color rgb="FFFF0000"/>
      </font>
      <fill>
        <patternFill patternType="none"/>
      </fill>
      <border/>
    </dxf>
    <dxf>
      <font>
        <color rgb="FF000000"/>
      </font>
      <fill>
        <patternFill patternType="solid">
          <fgColor rgb="FF00FFFF"/>
          <bgColor rgb="FF00FFFF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>
        <b/>
        <color rgb="FF000000"/>
      </font>
      <fill>
        <patternFill patternType="none"/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76</xdr:col>
      <xdr:colOff>0</xdr:colOff>
      <xdr:row>6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9900"/>
      </a:lt1>
      <a:dk2>
        <a:srgbClr val="000000"/>
      </a:dk2>
      <a:lt2>
        <a:srgbClr val="FF9900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8.38"/>
    <col customWidth="1" min="2" max="2" width="8.13"/>
    <col customWidth="1" min="3" max="3" width="10.25"/>
    <col customWidth="1" min="4" max="4" width="10.63"/>
    <col customWidth="1" min="5" max="5" width="9.0"/>
    <col customWidth="1" min="6" max="6" width="22.38"/>
    <col customWidth="1" min="7" max="7" width="18.0"/>
    <col customWidth="1" min="8" max="8" width="14.75"/>
    <col customWidth="1" min="9" max="9" width="16.25"/>
    <col customWidth="1" min="10" max="10" width="17.75"/>
    <col customWidth="1" min="11" max="11" width="18.38"/>
    <col customWidth="1" min="12" max="12" width="15.13"/>
    <col customWidth="1" min="13" max="13" width="17.13"/>
    <col customWidth="1" min="14" max="14" width="16.25"/>
    <col customWidth="1" min="15" max="15" width="19.38"/>
    <col customWidth="1" min="16" max="16" width="16.25"/>
    <col customWidth="1" min="17" max="17" width="17.13"/>
    <col customWidth="1" min="18" max="18" width="16.25"/>
    <col customWidth="1" min="19" max="19" width="17.13"/>
    <col customWidth="1" min="20" max="20" width="18.13"/>
    <col customWidth="1" min="21" max="21" width="19.38"/>
    <col customWidth="1" min="22" max="22" width="16.25"/>
    <col customWidth="1" min="23" max="23" width="17.13"/>
    <col customWidth="1" min="24" max="24" width="16.25"/>
    <col customWidth="1" min="25" max="25" width="17.13"/>
    <col customWidth="1" min="26" max="26" width="16.25"/>
    <col customWidth="1" min="27" max="27" width="17.13"/>
    <col customWidth="1" min="28" max="28" width="16.25"/>
    <col customWidth="1" min="29" max="29" width="17.13"/>
    <col customWidth="1" min="30" max="30" width="16.25"/>
    <col customWidth="1" min="31" max="31" width="17.13"/>
    <col customWidth="1" min="32" max="32" width="16.25"/>
    <col customWidth="1" min="33" max="33" width="17.13"/>
    <col customWidth="1" min="34" max="34" width="16.25"/>
    <col customWidth="1" min="35" max="35" width="17.13"/>
    <col customWidth="1" min="36" max="36" width="17.0"/>
    <col customWidth="1" min="37" max="37" width="17.13"/>
    <col customWidth="1" min="38" max="38" width="16.25"/>
    <col customWidth="1" min="39" max="39" width="17.13"/>
    <col customWidth="1" min="40" max="40" width="16.25"/>
    <col customWidth="1" min="41" max="41" width="17.13"/>
    <col customWidth="1" min="42" max="42" width="17.25"/>
    <col customWidth="1" min="43" max="43" width="17.13"/>
    <col customWidth="1" min="44" max="44" width="16.25"/>
    <col customWidth="1" min="45" max="45" width="17.13"/>
    <col customWidth="1" min="46" max="46" width="16.25"/>
    <col customWidth="1" min="47" max="47" width="17.13"/>
    <col customWidth="1" min="48" max="48" width="16.25"/>
    <col customWidth="1" min="49" max="49" width="17.13"/>
    <col customWidth="1" min="50" max="50" width="16.25"/>
    <col customWidth="1" min="51" max="51" width="17.13"/>
    <col customWidth="1" min="52" max="52" width="16.25"/>
    <col customWidth="1" min="53" max="53" width="17.13"/>
    <col customWidth="1" min="54" max="54" width="16.63"/>
    <col customWidth="1" min="55" max="55" width="17.13"/>
    <col customWidth="1" min="56" max="56" width="16.25"/>
    <col customWidth="1" min="57" max="57" width="17.13"/>
    <col customWidth="1" min="58" max="58" width="16.25"/>
    <col customWidth="1" min="59" max="59" width="17.13"/>
    <col customWidth="1" min="60" max="60" width="16.38"/>
    <col customWidth="1" min="61" max="61" width="17.13"/>
    <col customWidth="1" min="62" max="62" width="16.25"/>
    <col customWidth="1" min="63" max="63" width="17.25"/>
    <col customWidth="1" min="64" max="64" width="16.25"/>
    <col customWidth="1" min="65" max="65" width="17.13"/>
    <col customWidth="1" min="66" max="66" width="16.38"/>
    <col customWidth="1" min="67" max="67" width="17.13"/>
    <col customWidth="1" min="68" max="68" width="16.25"/>
    <col customWidth="1" min="69" max="69" width="17.13"/>
    <col customWidth="1" min="70" max="70" width="16.25"/>
    <col customWidth="1" min="71" max="71" width="17.13"/>
    <col customWidth="1" min="72" max="72" width="16.25"/>
    <col customWidth="1" min="73" max="73" width="17.13"/>
    <col customWidth="1" min="74" max="74" width="16.25"/>
    <col customWidth="1" min="75" max="75" width="17.13"/>
    <col customWidth="1" min="76" max="76" width="16.25"/>
    <col customWidth="1" min="77" max="77" width="17.13"/>
    <col customWidth="1" min="78" max="78" width="17.0"/>
    <col customWidth="1" min="79" max="79" width="17.13"/>
    <col customWidth="1" min="80" max="80" width="16.25"/>
    <col customWidth="1" min="81" max="81" width="17.13"/>
    <col customWidth="1" min="82" max="82" width="16.25"/>
    <col customWidth="1" min="83" max="83" width="17.13"/>
    <col customWidth="1" min="84" max="84" width="17.25"/>
    <col customWidth="1" min="85" max="85" width="17.13"/>
    <col customWidth="1" min="86" max="87" width="16.25"/>
    <col customWidth="1" min="88" max="88" width="17.13"/>
    <col customWidth="1" min="89" max="89" width="16.25"/>
    <col customWidth="1" min="90" max="90" width="17.13"/>
    <col customWidth="1" min="91" max="92" width="16.25"/>
    <col customWidth="1" min="93" max="93" width="17.13"/>
    <col customWidth="1" min="94" max="94" width="16.25"/>
  </cols>
  <sheetData>
    <row r="1" ht="21.75" customHeight="1">
      <c r="A1" s="1" t="s">
        <v>0</v>
      </c>
      <c r="B1" s="1" t="s">
        <v>1</v>
      </c>
      <c r="C1" s="1" t="s">
        <v>2</v>
      </c>
      <c r="D1" s="2"/>
      <c r="E1" s="2" t="s">
        <v>3</v>
      </c>
      <c r="F1" s="3" t="s">
        <v>4</v>
      </c>
      <c r="G1" s="4" t="s">
        <v>5</v>
      </c>
      <c r="H1" s="2"/>
      <c r="I1" s="5" t="s">
        <v>6</v>
      </c>
      <c r="J1" s="6"/>
      <c r="K1" s="7"/>
      <c r="L1" s="5" t="str">
        <f>TEXT(DATE(2025, 2, 1) + (INT((COLUMN(L1)-COLUMN($I$1))/3)), "d mmm (ddd)")</f>
        <v>2 Feb (Sun)</v>
      </c>
      <c r="M1" s="6"/>
      <c r="N1" s="7"/>
      <c r="O1" s="5" t="str">
        <f>TEXT(DATE(2025, 2, 1) + (INT((COLUMN(O1)-COLUMN($I$1))/3)), "d mmm (ddd)")</f>
        <v>3 Feb (Mon)</v>
      </c>
      <c r="P1" s="6"/>
      <c r="Q1" s="7"/>
      <c r="R1" s="5" t="str">
        <f>TEXT(DATE(2025, 2, 1) + (INT((COLUMN(R1)-COLUMN($I$1))/3)), "d mmm (ddd)")</f>
        <v>4 Feb (Tue)</v>
      </c>
      <c r="S1" s="6"/>
      <c r="T1" s="7"/>
      <c r="U1" s="5" t="str">
        <f>TEXT(DATE(2025, 2, 1) + (INT((COLUMN(U1)-COLUMN($I$1))/3)), "d mmm (ddd)")</f>
        <v>5 Feb (Wed)</v>
      </c>
      <c r="V1" s="6"/>
      <c r="W1" s="7"/>
      <c r="X1" s="5" t="str">
        <f>TEXT(DATE(2025, 2, 1) + (INT((COLUMN(X1)-COLUMN($I$1))/3)), "d mmm (ddd)")</f>
        <v>6 Feb (Thu)</v>
      </c>
      <c r="Y1" s="6"/>
      <c r="Z1" s="7"/>
      <c r="AA1" s="5" t="str">
        <f>TEXT(DATE(2025, 2, 1) + (INT((COLUMN(AA1)-COLUMN($I$1))/3)), "d mmm (ddd)")</f>
        <v>7 Feb (Fri)</v>
      </c>
      <c r="AB1" s="6"/>
      <c r="AC1" s="7"/>
      <c r="AD1" s="5" t="str">
        <f>TEXT(DATE(2025, 2, 1) + (INT((COLUMN(AD1)-COLUMN($I$1))/3)), "d mmm (ddd)")</f>
        <v>8 Feb (Sat)</v>
      </c>
      <c r="AE1" s="6"/>
      <c r="AF1" s="7"/>
      <c r="AG1" s="5" t="str">
        <f>TEXT(DATE(2025, 2, 1) + (INT((COLUMN(AG1)-COLUMN($I$1))/3)), "d mmm (ddd)")</f>
        <v>9 Feb (Sun)</v>
      </c>
      <c r="AH1" s="6"/>
      <c r="AI1" s="7"/>
      <c r="AJ1" s="5" t="str">
        <f>TEXT(DATE(2025, 2, 1) + (INT((COLUMN(AJ1)-COLUMN($I$1))/3)), "d mmm (ddd)")</f>
        <v>10 Feb (Mon)</v>
      </c>
      <c r="AK1" s="6"/>
      <c r="AL1" s="7"/>
      <c r="AM1" s="5" t="str">
        <f>TEXT(DATE(2025, 2, 1) + (INT((COLUMN(AM1)-COLUMN($I$1))/3)), "d mmm (ddd)")</f>
        <v>11 Feb (Tue)</v>
      </c>
      <c r="AN1" s="6"/>
      <c r="AO1" s="7"/>
      <c r="AP1" s="5" t="str">
        <f>TEXT(DATE(2025, 2, 1) + (INT((COLUMN(AP1)-COLUMN($I$1))/3)), "d mmm (ddd)")</f>
        <v>12 Feb (Wed)</v>
      </c>
      <c r="AQ1" s="6"/>
      <c r="AR1" s="7"/>
      <c r="AS1" s="5" t="str">
        <f>TEXT(DATE(2025, 2, 1) + (INT((COLUMN(AS1)-COLUMN($I$1))/3)), "d mmm (ddd)")</f>
        <v>13 Feb (Thu)</v>
      </c>
      <c r="AT1" s="6"/>
      <c r="AU1" s="7"/>
      <c r="AV1" s="5" t="str">
        <f>TEXT(DATE(2025, 2, 1) + (INT((COLUMN(AV1)-COLUMN($I$1))/3)), "d mmm (ddd)")</f>
        <v>14 Feb (Fri)</v>
      </c>
      <c r="AW1" s="6"/>
      <c r="AX1" s="7"/>
      <c r="AY1" s="5" t="str">
        <f>TEXT(DATE(2025, 2, 1) + (INT((COLUMN(AY1)-COLUMN($I$1))/3)), "d mmm (ddd)")</f>
        <v>15 Feb (Sat)</v>
      </c>
      <c r="AZ1" s="6"/>
      <c r="BA1" s="7"/>
      <c r="BB1" s="5" t="str">
        <f>TEXT(DATE(2025, 2, 1) + (INT((COLUMN(BB1)-COLUMN($I$1))/3)), "d mmm (ddd)")</f>
        <v>16 Feb (Sun)</v>
      </c>
      <c r="BC1" s="6"/>
      <c r="BD1" s="7"/>
      <c r="BE1" s="5" t="str">
        <f>TEXT(DATE(2025, 2, 1) + (INT((COLUMN(BE1)-COLUMN($I$1))/3)), "d mmm (ddd)")</f>
        <v>17 Feb (Mon)</v>
      </c>
      <c r="BF1" s="6"/>
      <c r="BG1" s="7"/>
      <c r="BH1" s="5" t="str">
        <f>TEXT(DATE(2025, 2, 1) + (INT((COLUMN(BH1)-COLUMN($I$1))/3)), "d mmm (ddd)")</f>
        <v>18 Feb (Tue)</v>
      </c>
      <c r="BI1" s="6"/>
      <c r="BJ1" s="7"/>
      <c r="BK1" s="5" t="str">
        <f>TEXT(DATE(2025, 2, 1) + (INT((COLUMN(BK1)-COLUMN($I$1))/3)), "d mmm (ddd)")</f>
        <v>19 Feb (Wed)</v>
      </c>
      <c r="BL1" s="6"/>
      <c r="BM1" s="7"/>
      <c r="BN1" s="5" t="str">
        <f>TEXT(DATE(2025, 2, 1) + (INT((COLUMN(BN1)-COLUMN($I$1))/3)), "d mmm (ddd)")</f>
        <v>20 Feb (Thu)</v>
      </c>
      <c r="BO1" s="6"/>
      <c r="BP1" s="7"/>
      <c r="BQ1" s="5" t="str">
        <f>TEXT(DATE(2025, 2, 1) + (INT((COLUMN(BQ1)-COLUMN($I$1))/3)), "d mmm (ddd)")</f>
        <v>21 Feb (Fri)</v>
      </c>
      <c r="BR1" s="6"/>
      <c r="BS1" s="7"/>
      <c r="BT1" s="5" t="str">
        <f>TEXT(DATE(2025, 2, 1) + (INT((COLUMN(BT1)-COLUMN($I$1))/3)), "d mmm (ddd)")</f>
        <v>22 Feb (Sat)</v>
      </c>
      <c r="BU1" s="6"/>
      <c r="BV1" s="7"/>
      <c r="BW1" s="5" t="str">
        <f>TEXT(DATE(2025, 2, 1) + (INT((COLUMN(BW1)-COLUMN($I$1))/3)), "d mmm (ddd)")</f>
        <v>23 Feb (Sun)</v>
      </c>
      <c r="BX1" s="6"/>
      <c r="BY1" s="7"/>
      <c r="BZ1" s="5" t="str">
        <f>TEXT(DATE(2025, 2, 1) + (INT((COLUMN(BZ1)-COLUMN($I$1))/3)), "d mmm (ddd)")</f>
        <v>24 Feb (Mon)</v>
      </c>
      <c r="CA1" s="6"/>
      <c r="CB1" s="7"/>
      <c r="CC1" s="5" t="str">
        <f>TEXT(DATE(2025, 2, 1) + (INT((COLUMN(CC1)-COLUMN($I$1))/3)), "d mmm (ddd)")</f>
        <v>25 Feb (Tue)</v>
      </c>
      <c r="CD1" s="6"/>
      <c r="CE1" s="7"/>
      <c r="CF1" s="5" t="str">
        <f>TEXT(DATE(2025, 2, 1) + (INT((COLUMN(CF1)-COLUMN($I$1))/3)), "d mmm (ddd)")</f>
        <v>26 Feb (Wed)</v>
      </c>
      <c r="CG1" s="6"/>
      <c r="CH1" s="7"/>
      <c r="CI1" s="2"/>
      <c r="CJ1" s="5" t="str">
        <f>TEXT(DATE(2025, 2, 1) + (INT((COLUMN(CJ1)-COLUMN($I$1))/3)), "d mmm (ddd)")</f>
        <v>27 Feb (Thu)</v>
      </c>
      <c r="CK1" s="6"/>
      <c r="CL1" s="7"/>
      <c r="CM1" s="2"/>
      <c r="CN1" s="5" t="str">
        <f>TEXT(DATE(2025, 2, 1) + (INT((COLUMN(CN1)-COLUMN($I$1))/3)), "d mmm (ddd)")</f>
        <v>28 Feb (Fri)</v>
      </c>
      <c r="CO1" s="6"/>
      <c r="CP1" s="7"/>
    </row>
    <row r="2" ht="21.75" customHeight="1">
      <c r="A2" s="1" t="str">
        <f>"Count: " &amp; COUNTA(A9:A110)</f>
        <v>Count: 61</v>
      </c>
      <c r="B2" s="1"/>
      <c r="C2" s="1"/>
      <c r="D2" s="1"/>
      <c r="E2" s="1"/>
      <c r="F2" s="2"/>
      <c r="G2" s="4"/>
      <c r="H2" s="1"/>
      <c r="I2" s="8" t="s">
        <v>7</v>
      </c>
      <c r="J2" s="9" t="s">
        <v>8</v>
      </c>
      <c r="K2" s="10" t="s">
        <v>9</v>
      </c>
      <c r="L2" s="8" t="s">
        <v>7</v>
      </c>
      <c r="M2" s="9" t="s">
        <v>8</v>
      </c>
      <c r="N2" s="10" t="s">
        <v>9</v>
      </c>
      <c r="O2" s="8" t="s">
        <v>7</v>
      </c>
      <c r="P2" s="9" t="s">
        <v>8</v>
      </c>
      <c r="Q2" s="10" t="s">
        <v>9</v>
      </c>
      <c r="R2" s="8" t="s">
        <v>7</v>
      </c>
      <c r="S2" s="9" t="s">
        <v>8</v>
      </c>
      <c r="T2" s="10" t="s">
        <v>9</v>
      </c>
      <c r="U2" s="8" t="s">
        <v>7</v>
      </c>
      <c r="V2" s="9" t="s">
        <v>8</v>
      </c>
      <c r="W2" s="10" t="s">
        <v>9</v>
      </c>
      <c r="X2" s="8" t="s">
        <v>7</v>
      </c>
      <c r="Y2" s="9" t="s">
        <v>8</v>
      </c>
      <c r="Z2" s="10" t="s">
        <v>9</v>
      </c>
      <c r="AA2" s="8" t="s">
        <v>7</v>
      </c>
      <c r="AB2" s="9" t="s">
        <v>8</v>
      </c>
      <c r="AC2" s="10" t="s">
        <v>9</v>
      </c>
      <c r="AD2" s="8" t="s">
        <v>7</v>
      </c>
      <c r="AE2" s="9" t="s">
        <v>8</v>
      </c>
      <c r="AF2" s="10" t="s">
        <v>9</v>
      </c>
      <c r="AG2" s="8" t="s">
        <v>7</v>
      </c>
      <c r="AH2" s="9" t="s">
        <v>8</v>
      </c>
      <c r="AI2" s="10" t="s">
        <v>9</v>
      </c>
      <c r="AJ2" s="8" t="s">
        <v>7</v>
      </c>
      <c r="AK2" s="9" t="s">
        <v>8</v>
      </c>
      <c r="AL2" s="10" t="s">
        <v>9</v>
      </c>
      <c r="AM2" s="8" t="s">
        <v>7</v>
      </c>
      <c r="AN2" s="9" t="s">
        <v>8</v>
      </c>
      <c r="AO2" s="10" t="s">
        <v>9</v>
      </c>
      <c r="AP2" s="8" t="s">
        <v>7</v>
      </c>
      <c r="AQ2" s="9" t="s">
        <v>8</v>
      </c>
      <c r="AR2" s="10" t="s">
        <v>9</v>
      </c>
      <c r="AS2" s="8" t="s">
        <v>7</v>
      </c>
      <c r="AT2" s="9" t="s">
        <v>8</v>
      </c>
      <c r="AU2" s="10" t="s">
        <v>9</v>
      </c>
      <c r="AV2" s="8" t="s">
        <v>7</v>
      </c>
      <c r="AW2" s="9" t="s">
        <v>8</v>
      </c>
      <c r="AX2" s="10" t="s">
        <v>9</v>
      </c>
      <c r="AY2" s="8" t="s">
        <v>7</v>
      </c>
      <c r="AZ2" s="9" t="s">
        <v>8</v>
      </c>
      <c r="BA2" s="10" t="s">
        <v>9</v>
      </c>
      <c r="BB2" s="8" t="s">
        <v>7</v>
      </c>
      <c r="BC2" s="9" t="s">
        <v>8</v>
      </c>
      <c r="BD2" s="10" t="s">
        <v>9</v>
      </c>
      <c r="BE2" s="8" t="s">
        <v>7</v>
      </c>
      <c r="BF2" s="9" t="s">
        <v>8</v>
      </c>
      <c r="BG2" s="10" t="s">
        <v>9</v>
      </c>
      <c r="BH2" s="8" t="s">
        <v>7</v>
      </c>
      <c r="BI2" s="9" t="s">
        <v>8</v>
      </c>
      <c r="BJ2" s="10" t="s">
        <v>9</v>
      </c>
      <c r="BK2" s="8" t="s">
        <v>7</v>
      </c>
      <c r="BL2" s="9" t="s">
        <v>8</v>
      </c>
      <c r="BM2" s="10" t="s">
        <v>9</v>
      </c>
      <c r="BN2" s="8" t="s">
        <v>7</v>
      </c>
      <c r="BO2" s="9" t="s">
        <v>8</v>
      </c>
      <c r="BP2" s="10" t="s">
        <v>9</v>
      </c>
      <c r="BQ2" s="8" t="s">
        <v>7</v>
      </c>
      <c r="BR2" s="9" t="s">
        <v>8</v>
      </c>
      <c r="BS2" s="10" t="s">
        <v>9</v>
      </c>
      <c r="BT2" s="8" t="s">
        <v>7</v>
      </c>
      <c r="BU2" s="9" t="s">
        <v>8</v>
      </c>
      <c r="BV2" s="10" t="s">
        <v>9</v>
      </c>
      <c r="BW2" s="8" t="s">
        <v>7</v>
      </c>
      <c r="BX2" s="9" t="s">
        <v>8</v>
      </c>
      <c r="BY2" s="10" t="s">
        <v>9</v>
      </c>
      <c r="BZ2" s="8" t="s">
        <v>7</v>
      </c>
      <c r="CA2" s="9" t="s">
        <v>8</v>
      </c>
      <c r="CB2" s="10" t="s">
        <v>9</v>
      </c>
      <c r="CC2" s="8" t="s">
        <v>7</v>
      </c>
      <c r="CD2" s="9" t="s">
        <v>8</v>
      </c>
      <c r="CE2" s="10" t="s">
        <v>9</v>
      </c>
      <c r="CF2" s="8" t="s">
        <v>7</v>
      </c>
      <c r="CG2" s="9" t="s">
        <v>8</v>
      </c>
      <c r="CH2" s="10" t="s">
        <v>9</v>
      </c>
      <c r="CI2" s="10"/>
      <c r="CJ2" s="8" t="s">
        <v>7</v>
      </c>
      <c r="CK2" s="9" t="s">
        <v>8</v>
      </c>
      <c r="CL2" s="10" t="s">
        <v>9</v>
      </c>
      <c r="CM2" s="8"/>
      <c r="CN2" s="8" t="s">
        <v>7</v>
      </c>
      <c r="CO2" s="9" t="s">
        <v>8</v>
      </c>
      <c r="CP2" s="10" t="s">
        <v>9</v>
      </c>
    </row>
    <row r="3" ht="21.75" customHeight="1">
      <c r="A3" s="5" t="s">
        <v>10</v>
      </c>
      <c r="B3" s="7"/>
      <c r="C3" s="11"/>
      <c r="D3" s="2"/>
      <c r="E3" s="2"/>
      <c r="F3" s="2" t="s">
        <v>11</v>
      </c>
      <c r="G3" s="4"/>
      <c r="H3" s="2">
        <f>sum(H8:H70)</f>
        <v>3323.5</v>
      </c>
      <c r="I3" s="2">
        <f t="array" ref="I3">SUM(IF(I8:I107 = 0.5, 1, IF(I8:I107 = 1, 2, I8:I107)))</f>
        <v>0</v>
      </c>
      <c r="J3" s="2">
        <f t="array" ref="J3">SUM(IF(J8:J107 = 0.5, 1, J8:J107))</f>
        <v>0</v>
      </c>
      <c r="K3" s="2">
        <f t="array" ref="K3">SUM(IF(K8:K107 = 0.5, 1, K8:K107))</f>
        <v>41</v>
      </c>
      <c r="L3" s="2">
        <f t="array" ref="L3">SUM(IF(L8:L107 = 0.5, 1, IF(L8:L107 = 1, 2, L8:L107)))</f>
        <v>36</v>
      </c>
      <c r="M3" s="2">
        <f t="array" ref="M3">SUM(IF(M8:M107 = 0.5, 1, M8:M107))</f>
        <v>52</v>
      </c>
      <c r="N3" s="2">
        <f t="array" ref="N3">SUM(IF(N8:N107 = 0.5, 1, N8:N107))</f>
        <v>47</v>
      </c>
      <c r="O3" s="2">
        <f t="array" ref="O3">SUM(IF(O8:O107 = 0.5, 1, IF(O8:O107 = 1, 2, O8:O107)))</f>
        <v>31</v>
      </c>
      <c r="P3" s="2">
        <f t="array" ref="P3">SUM(IF(P8:P107 = 0.5, 1, P8:P107))</f>
        <v>51</v>
      </c>
      <c r="Q3" s="2">
        <f t="array" ref="Q3">SUM(IF(Q8:Q107 = 0.5, 1, Q8:Q107))</f>
        <v>42</v>
      </c>
      <c r="R3" s="2">
        <f t="array" ref="R3">SUM(IF(R8:R107 = 0.5, 1, IF(R8:R107 = 1, 2, R8:R107)))</f>
        <v>39</v>
      </c>
      <c r="S3" s="2">
        <f t="array" ref="S3">SUM(IF(S8:S107 = 0.5, 1, S8:S107))</f>
        <v>55</v>
      </c>
      <c r="T3" s="2">
        <f t="array" ref="T3">SUM(IF(T8:T107 = 0.5, 1, T8:T107))</f>
        <v>53</v>
      </c>
      <c r="U3" s="2">
        <f t="array" ref="U3">SUM(IF(U8:U107 = 0.5, 1, IF(U8:U107 = 1, 2, U8:U107)))</f>
        <v>38</v>
      </c>
      <c r="V3" s="2">
        <f t="array" ref="V3">SUM(IF(V8:V107 = 0.5, 1, V8:V107))</f>
        <v>55</v>
      </c>
      <c r="W3" s="2">
        <f t="array" ref="W3">SUM(IF(W8:W107 = 0.5, 1, W8:W107))</f>
        <v>54</v>
      </c>
      <c r="X3" s="2">
        <f t="array" ref="X3">SUM(IF(X8:X107 = 0.5, 1, IF(X8:X107 = 1, 2, X8:X107)))</f>
        <v>38</v>
      </c>
      <c r="Y3" s="2">
        <f t="array" ref="Y3">SUM(IF(Y8:Y107 = 0.5, 1, Y8:Y107))</f>
        <v>60</v>
      </c>
      <c r="Z3" s="2">
        <f t="array" ref="Z3">SUM(IF(Z8:Z107 = 0.5, 1, Z8:Z107))</f>
        <v>55</v>
      </c>
      <c r="AA3" s="2">
        <f t="array" ref="AA3">SUM(IF(AA8:AA107 = 0.5, 1, IF(AA8:AA107 = 1, 2, AA8:AA107)))</f>
        <v>32</v>
      </c>
      <c r="AB3" s="2">
        <f t="array" ref="AB3">2 + SUM(ROUND((AB8:AB107 - 0.5) / 2,0))</f>
        <v>55</v>
      </c>
      <c r="AC3" s="2">
        <f t="array" ref="AC3">SUM(IF(AC8:AC107 = 0.5, 1, AC8:AC107))</f>
        <v>45</v>
      </c>
      <c r="AD3" s="2">
        <f t="array" ref="AD3">SUM(IF(AD8:AD107 = 0.5, 1, IF(AD8:AD107 = 1, 2, AD8:AD107)))</f>
        <v>30</v>
      </c>
      <c r="AE3" s="2">
        <f t="array" ref="AE3">SUM(IF(AE8:AE107 = 0.5, 1, AE8:AE107))</f>
        <v>54</v>
      </c>
      <c r="AF3" s="2">
        <f t="array" ref="AF3">SUM(IF(AF8:AF107 = 0.5, 1, AF8:AF107))</f>
        <v>42</v>
      </c>
      <c r="AG3" s="2">
        <f t="array" ref="AG3">SUM(IF(AG8:AG107 = 0.5, 1, IF(AG8:AG107 = 1, 2, AG8:AG107)))</f>
        <v>36</v>
      </c>
      <c r="AH3" s="2">
        <f t="array" ref="AH3">SUM(IF(AH8:AH107 = 0.5, 1, AH8:AH107))</f>
        <v>55</v>
      </c>
      <c r="AI3" s="2">
        <f t="array" ref="AI3">SUM(IF(AI8:AI107 = 0.5, 1, AI8:AI107))</f>
        <v>52</v>
      </c>
      <c r="AJ3" s="2">
        <f t="array" ref="AJ3">SUM(IF(AJ8:AJ107 = 0.5, 1, IF(AJ8:AJ107 = 1, 2, AJ8:AJ107)))</f>
        <v>28</v>
      </c>
      <c r="AK3" s="2">
        <f t="array" ref="AK3">SUM(IF(AK8:AK107 = 0.5, 1, AK8:AK107))</f>
        <v>51</v>
      </c>
      <c r="AL3" s="2">
        <f t="array" ref="AL3">SUM(IF(AL8:AL107 = 0.5, 1, AL8:AL107))</f>
        <v>50</v>
      </c>
      <c r="AM3" s="2">
        <f t="array" ref="AM3">SUM(IF(AM8:AM107 = 0.5, 1, IF(AM8:AM107 = 1, 2, AM8:AM107)))</f>
        <v>35</v>
      </c>
      <c r="AN3" s="2">
        <f t="array" ref="AN3">SUM(IF(AN8:AN107 = 0.5, 1, AN8:AN107))</f>
        <v>50</v>
      </c>
      <c r="AO3" s="2">
        <f t="array" ref="AO3">SUM(IF(AO8:AO107 = 0.5, 1, AO8:AO107))</f>
        <v>51.5</v>
      </c>
      <c r="AP3" s="2">
        <f t="array" ref="AP3">SUM(IF(AP8:AP107 = 0.5, 1, IF(AP8:AP107 = 1, 2, AP8:AP107)))</f>
        <v>30</v>
      </c>
      <c r="AQ3" s="2">
        <f t="array" ref="AQ3">SUM(IF(AQ8:AQ107 = 0.5, 1, AQ8:AQ107))</f>
        <v>44</v>
      </c>
      <c r="AR3" s="2">
        <f t="array" ref="AR3">SUM(IF(AR8:AR107 = 0.5, 1, AR8:AR107))</f>
        <v>55</v>
      </c>
      <c r="AS3" s="2">
        <f t="array" ref="AS3">SUM(IF(AS8:AS107 = 0.5, 1, IF(AS8:AS107 = 1, 2, AS8:AS107)))</f>
        <v>56</v>
      </c>
      <c r="AT3" s="2">
        <f t="array" ref="AT3">SUM(IF(AT8:AT107 = 0.5, 1, AT8:AT107))</f>
        <v>49</v>
      </c>
      <c r="AU3" s="2">
        <f t="array" ref="AU3">SUM(IF(AU8:AU107 = 0.5, 1, AU8:AU107))</f>
        <v>50</v>
      </c>
      <c r="AV3" s="2">
        <f t="array" ref="AV3">SUM(IF(AV8:AV107 = 0.5, 1, IF(AV8:AV107 = 1, 2, AV8:AV107)))</f>
        <v>24</v>
      </c>
      <c r="AW3" s="2">
        <f t="array" ref="AW3">2 + SUM(ROUND((AW8:AW107 - 0.5) / 2,0))</f>
        <v>2</v>
      </c>
      <c r="AX3" s="2">
        <f t="array" ref="AX3">SUM(IF(AX8:AX107 = 0.5, 1, AX8:AX107))</f>
        <v>43</v>
      </c>
      <c r="AY3" s="2">
        <f t="array" ref="AY3">SUM(IF(AY8:AY107 = 0.5, 1, IF(AY8:AY107 = 1, 2, AY8:AY107)))</f>
        <v>26</v>
      </c>
      <c r="AZ3" s="2">
        <f t="array" ref="AZ3">SUM(IF(AZ8:AZ107 = 0.5, 1, AZ8:AZ107))</f>
        <v>42</v>
      </c>
      <c r="BA3" s="2">
        <f t="array" ref="BA3">SUM(IF(BA8:BA107 = 0.5, 1, BA8:BA107))</f>
        <v>42</v>
      </c>
      <c r="BB3" s="2">
        <f t="array" ref="BB3">SUM(IF(BB8:BB107 = 0.5, 1, IF(BB8:BB107 = 1, 2, BB8:BB107)))</f>
        <v>32</v>
      </c>
      <c r="BC3" s="2">
        <f t="array" ref="BC3">SUM(IF(BC8:BC107 = 0.5, 1, BC8:BC107))</f>
        <v>47</v>
      </c>
      <c r="BD3" s="2">
        <f t="array" ref="BD3">SUM(IF(BD8:BD107 = 0.5, 1, BD8:BD107))</f>
        <v>37</v>
      </c>
      <c r="BE3" s="2">
        <f t="array" ref="BE3">SUM(IF(BE8:BE107 = 0.5, 1, IF(BE8:BE107 = 1, 2, BE8:BE107)))</f>
        <v>33</v>
      </c>
      <c r="BF3" s="2">
        <f t="array" ref="BF3">SUM(IF(BF8:BF107 = 0.5, 1, BF8:BF107))</f>
        <v>51</v>
      </c>
      <c r="BG3" s="2">
        <f t="array" ref="BG3">SUM(IF(BG8:BG107 = 0.5, 1, BG8:BG107))</f>
        <v>43</v>
      </c>
      <c r="BH3" s="2">
        <f t="array" ref="BH3">SUM(IF(BH8:BH107 = 0.5, 1, IF(BH8:BH107 = 1, 2, BH8:BH107)))</f>
        <v>22</v>
      </c>
      <c r="BI3" s="2">
        <f t="array" ref="BI3">SUM(IF(BI8:BI107 = 0.5, 1, BI8:BI107))</f>
        <v>53</v>
      </c>
      <c r="BJ3" s="2">
        <f t="array" ref="BJ3">SUM(IF(BJ8:BJ107 = 0.5, 1, BJ8:BJ107))</f>
        <v>51</v>
      </c>
      <c r="BK3" s="2">
        <f t="array" ref="BK3">SUM(IF(BK8:BK107 = 0.5, 1, IF(BK8:BK107 = 1, 2, BK8:BK107)))</f>
        <v>0</v>
      </c>
      <c r="BL3" s="2">
        <f t="array" ref="BL3">SUM(IF(BL8:BL107 = 0.5, 1, BL8:BL107))</f>
        <v>53</v>
      </c>
      <c r="BM3" s="2">
        <f t="array" ref="BM3">SUM(IF(BM8:BM107 = 0.5, 1, BM8:BM107))</f>
        <v>49</v>
      </c>
      <c r="BN3" s="2">
        <f t="array" ref="BN3">SUM(IF(BN8:BN107 = 0.5, 1, IF(BN8:BN107 = 1, 2, BN8:BN107)))</f>
        <v>29</v>
      </c>
      <c r="BO3" s="2">
        <f t="array" ref="BO3">SUM(IF(BO8:BO107 = 0.5, 1, BO8:BO107))</f>
        <v>49</v>
      </c>
      <c r="BP3" s="2">
        <f t="array" ref="BP3">SUM(IF(BP8:BP107 = 0.5, 1, BP8:BP107))</f>
        <v>44</v>
      </c>
      <c r="BQ3" s="2">
        <f t="array" ref="BQ3">SUM(IF(BQ8:BQ107 = 0.5, 1, IF(BQ8:BQ107 = 1, 2, BQ8:BQ107)))</f>
        <v>29</v>
      </c>
      <c r="BR3" s="2">
        <f t="array" ref="BR3">2 + SUM(IF(BR8:BR107 &gt;= 2, 1 + INT((BR8:BR107 - 2) / 3), 0))</f>
        <v>55</v>
      </c>
      <c r="BS3" s="2">
        <f t="array" ref="BS3">SUM(IF(BS8:BS107 = 0.5, 1, BS8:BS107))</f>
        <v>45</v>
      </c>
      <c r="BT3" s="2">
        <f t="array" ref="BT3">SUM(IF(BT8:BT107 = 0.5, 1, IF(BT8:BT107 = 1, 2, BT8:BT107)))</f>
        <v>26</v>
      </c>
      <c r="BU3" s="2">
        <f t="array" ref="BU3">SUM(IF(BU8:BU107 = 0.5, 1, BU8:BU107))</f>
        <v>45</v>
      </c>
      <c r="BV3" s="2">
        <f t="array" ref="BV3">SUM(IF(BV8:BV107 = 0.5, 1, BV8:BV107))</f>
        <v>44</v>
      </c>
      <c r="BW3" s="2">
        <f t="array" ref="BW3">SUM(IF(BW8:BW107 = 0.5, 1, IF(BW8:BW107 = 1, 2, BW8:BW107)))</f>
        <v>30</v>
      </c>
      <c r="BX3" s="2">
        <f t="array" ref="BX3">SUM(IF(BX8:BX107 = 0.5, 1, BX8:BX107))</f>
        <v>48</v>
      </c>
      <c r="BY3" s="2">
        <f t="array" ref="BY3">SUM(IF(BY8:BY107 = 0.5, 1, BY8:BY107))</f>
        <v>46</v>
      </c>
      <c r="BZ3" s="2">
        <f t="array" ref="BZ3">SUM(IF(BZ8:BZ107 = 0.5, 1, IF(BZ8:BZ107 = 1, 2, BZ8:BZ107)))</f>
        <v>31</v>
      </c>
      <c r="CA3" s="2">
        <f t="array" ref="CA3">SUM(IF(CA8:CA107 = 0.5, 1, CA8:CA107))</f>
        <v>48</v>
      </c>
      <c r="CB3" s="2">
        <f t="array" ref="CB3">SUM(IF(CB8:CB107 = 0.5, 1, CB8:CB107))</f>
        <v>47</v>
      </c>
      <c r="CC3" s="2">
        <f t="array" ref="CC3">SUM(IF(CC8:CC107 = 0.5, 1, IF(CC8:CC107 = 1, 2, CC8:CC107)))</f>
        <v>36</v>
      </c>
      <c r="CD3" s="2">
        <f t="array" ref="CD3">SUM(IF(CD8:CD107 = 0.5, 1, CD8:CD107))</f>
        <v>54</v>
      </c>
      <c r="CE3" s="2">
        <f t="array" ref="CE3">SUM(IF(CE8:CE107 = 0.5, 1, CE8:CE107))</f>
        <v>50</v>
      </c>
      <c r="CF3" s="2">
        <f t="array" ref="CF3">SUM(IF(CF8:CF107 = 0.5, 1, IF(CF8:CF107 = 1, 2, CF8:CF107)))</f>
        <v>35</v>
      </c>
      <c r="CG3" s="2">
        <f t="array" ref="CG3">SUM(IF(CG8:CG107 = 0.5, 1, CG8:CG107))</f>
        <v>54</v>
      </c>
      <c r="CH3" s="2">
        <f t="array" ref="CH3">SUM(IF(CH8:CH107 = 0.5, 1, CH8:CH107))</f>
        <v>51</v>
      </c>
      <c r="CI3" s="2"/>
      <c r="CJ3" s="2">
        <f t="array" ref="CJ3">SUM(IF(CJ8:CJ107 = 0.5, 1, IF(CJ8:CJ107 = 1, 2, CJ8:CJ107)))</f>
        <v>35</v>
      </c>
      <c r="CK3" s="2">
        <f t="array" ref="CK3">SUM(IF(CK8:CK107 = 0.5, 1, CK8:CK107))</f>
        <v>53</v>
      </c>
      <c r="CL3" s="2">
        <f t="array" ref="CL3">SUM(IF(CL8:CL107 = 0.5, 1, CL8:CL107))</f>
        <v>56</v>
      </c>
      <c r="CM3" s="2"/>
      <c r="CN3" s="2">
        <f t="array" ref="CN3">SUM(IF(CN8:CN107 = 0.5, 1, IF(CN8:CN107 = 1, 2, CN8:CN107)))</f>
        <v>50</v>
      </c>
      <c r="CO3" s="2">
        <f t="array" ref="CO3">2 + SUM(ROUND((CO8:CO107 - 0.5) / 2,0))</f>
        <v>62</v>
      </c>
      <c r="CP3" s="2">
        <f t="array" ref="CP3">SUM(IF(CP8:CP107 = 0.5, 1, CP8:CP107))</f>
        <v>48</v>
      </c>
    </row>
    <row r="4" ht="21.75" customHeight="1">
      <c r="A4" s="2"/>
      <c r="B4" s="2"/>
      <c r="C4" s="1"/>
      <c r="D4" s="2"/>
      <c r="E4" s="2"/>
      <c r="F4" s="2"/>
      <c r="G4" s="4"/>
      <c r="H4" s="2"/>
      <c r="I4" s="2" t="str">
        <f>"fish: " &amp; (IF(I15&lt;&gt;"", I15/0.5, 0) + IF(I40&lt;&gt;"", I40/0.5, 0) + IF(I61&lt;&gt;"", I61/0.5, 0)) &amp; " eggs"</f>
        <v>fish: 0 eggs</v>
      </c>
      <c r="J4" s="2" t="str">
        <f t="shared" ref="J4:K4" si="1">"fish: " &amp; (IF(J15&lt;&gt;"", J15/1, 0) + IF(J40&lt;&gt;"", J40/1, 0) + IF(J61&lt;&gt;"", J61/1, 0)) &amp; " eggs"</f>
        <v>fish: 0 eggs</v>
      </c>
      <c r="K4" s="2" t="str">
        <f t="shared" si="1"/>
        <v>fish: 1 eggs</v>
      </c>
      <c r="L4" s="2" t="str">
        <f>"fish: " &amp; (IF(L15&lt;&gt;"", L15/0.5, 0) + IF(L40&lt;&gt;"", L40/0.5, 0) + IF(L61&lt;&gt;"", L61/0.5, 0)) &amp; " eggs"</f>
        <v>fish: 2 eggs</v>
      </c>
      <c r="M4" s="2" t="str">
        <f t="shared" ref="M4:N4" si="2">"fish: " &amp; (IF(M15&lt;&gt;"", M15/1, 0) + IF(M40&lt;&gt;"", M40/1, 0) + IF(M61&lt;&gt;"", M61/1, 0)) &amp; " eggs"</f>
        <v>fish: 3 eggs</v>
      </c>
      <c r="N4" s="2" t="str">
        <f t="shared" si="2"/>
        <v>fish: 2 eggs</v>
      </c>
      <c r="O4" s="2" t="str">
        <f>"fish: " &amp; (IF(O15&lt;&gt;"", O15/0.5, 0) + IF(O40&lt;&gt;"", O40/0.5, 0) + IF(O61&lt;&gt;"", O61/0.5, 0)) &amp; " eggs"</f>
        <v>fish: 1 eggs</v>
      </c>
      <c r="P4" s="2" t="str">
        <f t="shared" ref="P4:Q4" si="3">"fish: " &amp; (IF(P15&lt;&gt;"", P15/1, 0) + IF(P40&lt;&gt;"", P40/1, 0) + IF(P61&lt;&gt;"", P61/1, 0)) &amp; " eggs"</f>
        <v>fish: 3 eggs</v>
      </c>
      <c r="Q4" s="2" t="str">
        <f t="shared" si="3"/>
        <v>fish: 1 eggs</v>
      </c>
      <c r="R4" s="2" t="str">
        <f>"fish: " &amp; (IF(R15&lt;&gt;"", R15/0.5, 0) + IF(R40&lt;&gt;"", R40/0.5, 0) + IF(R61&lt;&gt;"", R61/0.5, 0)) &amp; " eggs"</f>
        <v>fish: 2 eggs</v>
      </c>
      <c r="S4" s="2" t="str">
        <f t="shared" ref="S4:T4" si="4">"fish: " &amp; (IF(S15&lt;&gt;"", S15/1, 0) + IF(S40&lt;&gt;"", S40/1, 0) + IF(S61&lt;&gt;"", S61/1, 0)) &amp; " eggs"</f>
        <v>fish: 4 eggs</v>
      </c>
      <c r="T4" s="2" t="str">
        <f t="shared" si="4"/>
        <v>fish: 1 eggs</v>
      </c>
      <c r="U4" s="2" t="str">
        <f>"fish: " &amp; (IF(U15&lt;&gt;"", U15/0.5, 0) + IF(U40&lt;&gt;"", U40/0.5, 0) + IF(U61&lt;&gt;"", U61/0.5, 0)) &amp; " eggs"</f>
        <v>fish: 2 eggs</v>
      </c>
      <c r="V4" s="2" t="str">
        <f t="shared" ref="V4:W4" si="5">"fish: " &amp; (IF(V15&lt;&gt;"", V15/1, 0) + IF(V40&lt;&gt;"", V40/1, 0) + IF(V61&lt;&gt;"", V61/1, 0)) &amp; " eggs"</f>
        <v>fish: 2 eggs</v>
      </c>
      <c r="W4" s="2" t="str">
        <f t="shared" si="5"/>
        <v>fish: 1 eggs</v>
      </c>
      <c r="X4" s="2" t="str">
        <f>"fish: " &amp; (IF(X15&lt;&gt;"", X15/0.5, 0) + IF(X40&lt;&gt;"", X40/0.5, 0) + IF(X61&lt;&gt;"", X61/0.5, 0)) &amp; " eggs"</f>
        <v>fish: 2 eggs</v>
      </c>
      <c r="Y4" s="2" t="str">
        <f t="shared" ref="Y4:Z4" si="6">"fish: " &amp; (IF(Y15&lt;&gt;"", Y15/1, 0) + IF(Y40&lt;&gt;"", Y40/1, 0) + IF(Y61&lt;&gt;"", Y61/1, 0)) &amp; " eggs"</f>
        <v>fish: 3 eggs</v>
      </c>
      <c r="Z4" s="2" t="str">
        <f t="shared" si="6"/>
        <v>fish: 1 eggs</v>
      </c>
      <c r="AA4" s="2" t="str">
        <f>"fish: " &amp; (IF(AA15&lt;&gt;"", AA15/0.5, 0) + IF(AA40&lt;&gt;"", AA40/0.5, 0) + IF(AA61&lt;&gt;"", AA61/0.5, 0)) &amp; " eggs"</f>
        <v>fish: 1 eggs</v>
      </c>
      <c r="AB4" s="2" t="str">
        <f t="shared" ref="AB4:AC4" si="7">"fish: " &amp; (IF(AB15&lt;&gt;"", AB15/2, 0) + IF(AB40&lt;&gt;"", AB40/2, 0) + IF(AB61&lt;&gt;"", AB61/2, 0)) &amp; " eggs"</f>
        <v>fish: 2 eggs</v>
      </c>
      <c r="AC4" s="2" t="str">
        <f t="shared" si="7"/>
        <v>fish: 0 eggs</v>
      </c>
      <c r="AD4" s="2" t="str">
        <f>"fish: " &amp; (IF(AD15&lt;&gt;"", AD15/0.5, 0) + IF(AD40&lt;&gt;"", AD40/0.5, 0) + IF(AD61&lt;&gt;"", AD61/0.5, 0)) &amp; " eggs"</f>
        <v>fish: 1 eggs</v>
      </c>
      <c r="AE4" s="2" t="str">
        <f t="shared" ref="AE4:AF4" si="8">"fish: " &amp; (IF(AE15&lt;&gt;"", AE15/1, 0) + IF(AE40&lt;&gt;"", AE40/1, 0) + IF(AE61&lt;&gt;"", AE61/1, 0)) &amp; " eggs"</f>
        <v>fish: 3 eggs</v>
      </c>
      <c r="AF4" s="2" t="str">
        <f t="shared" si="8"/>
        <v>fish: 1 eggs</v>
      </c>
      <c r="AG4" s="2" t="str">
        <f>"fish: " &amp; (IF(AG15&lt;&gt;"", AG15/0.5, 0) + IF(AG40&lt;&gt;"", AG40/0.5, 0) + IF(AG61&lt;&gt;"", AG61/0.5, 0)) &amp; " eggs"</f>
        <v>fish: 2 eggs</v>
      </c>
      <c r="AH4" s="2" t="str">
        <f t="shared" ref="AH4:AI4" si="9">"fish: " &amp; (IF(AH15&lt;&gt;"", AH15/1, 0) + IF(AH40&lt;&gt;"", AH40/1, 0) + IF(AH61&lt;&gt;"", AH61/1, 0)) &amp; " eggs"</f>
        <v>fish: 3 eggs</v>
      </c>
      <c r="AI4" s="2" t="str">
        <f t="shared" si="9"/>
        <v>fish: 2 eggs</v>
      </c>
      <c r="AJ4" s="2" t="str">
        <f>"fish: " &amp; (IF(AJ15&lt;&gt;"", AJ15/0.5, 0) + IF(AJ40&lt;&gt;"", AJ40/0.5, 0) + IF(AJ61&lt;&gt;"", AJ61/0.5, 0)) &amp; " eggs"</f>
        <v>fish: 1 eggs</v>
      </c>
      <c r="AK4" s="2" t="str">
        <f t="shared" ref="AK4:AL4" si="10">"fish: " &amp; (IF(AK15&lt;&gt;"", AK15/1, 0) + IF(AK40&lt;&gt;"", AK40/1, 0) + IF(AK61&lt;&gt;"", AK61/1, 0)) &amp; " eggs"</f>
        <v>fish: 2 eggs</v>
      </c>
      <c r="AL4" s="2" t="str">
        <f t="shared" si="10"/>
        <v>fish: 1 eggs</v>
      </c>
      <c r="AM4" s="2" t="str">
        <f>"fish: " &amp; (IF(AM15&lt;&gt;"", AM15/0.5, 0) + IF(AM40&lt;&gt;"", AM40/0.5, 0) + IF(AM61&lt;&gt;"", AM61/0.5, 0)) &amp; " eggs"</f>
        <v>fish: 2 eggs</v>
      </c>
      <c r="AN4" s="2" t="str">
        <f t="shared" ref="AN4:AO4" si="11">"fish: " &amp; (IF(AN15&lt;&gt;"", AN15/1, 0) + IF(AN40&lt;&gt;"", AN40/1, 0) + IF(AN61&lt;&gt;"", AN61/1, 0)) &amp; " eggs"</f>
        <v>fish: 3 eggs</v>
      </c>
      <c r="AO4" s="2" t="str">
        <f t="shared" si="11"/>
        <v>fish: 2.5 eggs</v>
      </c>
      <c r="AP4" s="2" t="str">
        <f>"fish: " &amp; (IF(AP15&lt;&gt;"", AP15/0.5, 0) + IF(AP40&lt;&gt;"", AP40/0.5, 0) + IF(AP61&lt;&gt;"", AP61/0.5, 0)) &amp; " eggs"</f>
        <v>fish: 1 eggs</v>
      </c>
      <c r="AQ4" s="2" t="str">
        <f t="shared" ref="AQ4:AR4" si="12">"fish: " &amp; (IF(AQ15&lt;&gt;"", AQ15/1, 0) + IF(AQ40&lt;&gt;"", AQ40/1, 0) + IF(AQ61&lt;&gt;"", AQ61/1, 0)) &amp; " eggs"</f>
        <v>fish: 2 eggs</v>
      </c>
      <c r="AR4" s="2" t="str">
        <f t="shared" si="12"/>
        <v>fish: 3 eggs</v>
      </c>
      <c r="AS4" s="2" t="str">
        <f>"fish: " &amp; (IF(AS15&lt;&gt;"", AS15/0.5, 0) + IF(AS40&lt;&gt;"", AS40/0.5, 0) + IF(AS61&lt;&gt;"", AS61/0.5, 0)) &amp; " eggs"</f>
        <v>fish: 2 eggs</v>
      </c>
      <c r="AT4" s="2" t="str">
        <f t="shared" ref="AT4:AU4" si="13">"fish: " &amp; (IF(AT15&lt;&gt;"", AT15/1, 0) + IF(AT40&lt;&gt;"", AT40/1, 0) + IF(AT61&lt;&gt;"", AT61/1, 0)) &amp; " eggs"</f>
        <v>fish: 1 eggs</v>
      </c>
      <c r="AU4" s="2" t="str">
        <f t="shared" si="13"/>
        <v>fish: 1 eggs</v>
      </c>
      <c r="AV4" s="2" t="str">
        <f>"fish: " &amp; (IF(AV15&lt;&gt;"", AV15/0.5, 0) + IF(AV40&lt;&gt;"", AV40/0.5, 0) + IF(AV61&lt;&gt;"", AV61/0.5, 0)) &amp; " eggs"</f>
        <v>fish: 0 eggs</v>
      </c>
      <c r="AW4" s="2" t="str">
        <f t="shared" ref="AW4:AX4" si="14">"fish: " &amp; (IF(AW15&lt;&gt;"", AW15/2, 0) + IF(AW40&lt;&gt;"", AW40/2, 0) + IF(AW61&lt;&gt;"", AW61/2, 0)) &amp; " eggs"</f>
        <v>fish: 0.5 eggs</v>
      </c>
      <c r="AX4" s="2" t="str">
        <f t="shared" si="14"/>
        <v>fish: 0 eggs</v>
      </c>
      <c r="AY4" s="2" t="str">
        <f>"fish: " &amp; (IF(AY15&lt;&gt;"", AY15/0.5, 0) + IF(AY40&lt;&gt;"", AY40/0.5, 0) + IF(AY61&lt;&gt;"", AY61/0.5, 0)) &amp; " eggs"</f>
        <v>fish: 0 eggs</v>
      </c>
      <c r="AZ4" s="2" t="str">
        <f t="shared" ref="AZ4:BA4" si="15">"fish: " &amp; (IF(AZ15&lt;&gt;"", AZ15/1, 0) + IF(AZ40&lt;&gt;"", AZ40/1, 0) + IF(AZ61&lt;&gt;"", AZ61/1, 0)) &amp; " eggs"</f>
        <v>fish: 1 eggs</v>
      </c>
      <c r="BA4" s="2" t="str">
        <f t="shared" si="15"/>
        <v>fish: 1 eggs</v>
      </c>
      <c r="BB4" s="2" t="str">
        <f>"fish: " &amp; (IF(BB15&lt;&gt;"", BB15/0.5, 0) + IF(BB40&lt;&gt;"", BB40/0.5, 0) + IF(BB61&lt;&gt;"", BB61/0.5, 0)) &amp; " eggs"</f>
        <v>fish: 1 eggs</v>
      </c>
      <c r="BC4" s="2" t="str">
        <f t="shared" ref="BC4:BD4" si="16">"fish: " &amp; (IF(BC15&lt;&gt;"", BC15/1, 0) + IF(BC40&lt;&gt;"", BC40/1, 0) + IF(BC61&lt;&gt;"", BC61/1, 0)) &amp; " eggs"</f>
        <v>fish: 2 eggs</v>
      </c>
      <c r="BD4" s="2" t="str">
        <f t="shared" si="16"/>
        <v>fish: 1 eggs</v>
      </c>
      <c r="BE4" s="2" t="str">
        <f>"fish: " &amp; (IF(BE15&lt;&gt;"", BE15/0.5, 0) + IF(BE40&lt;&gt;"", BE40/0.5, 0) + IF(BE61&lt;&gt;"", BE61/0.5, 0)) &amp; " eggs"</f>
        <v>fish: 0 eggs</v>
      </c>
      <c r="BF4" s="2" t="str">
        <f t="shared" ref="BF4:BG4" si="17">"fish: " &amp; (IF(BF15&lt;&gt;"", BF15/1, 0) + IF(BF40&lt;&gt;"", BF40/1, 0) + IF(BF61&lt;&gt;"", BF61/1, 0)) &amp; " eggs"</f>
        <v>fish: 1 eggs</v>
      </c>
      <c r="BG4" s="2" t="str">
        <f t="shared" si="17"/>
        <v>fish: 1 eggs</v>
      </c>
      <c r="BH4" s="2" t="str">
        <f>"fish: " &amp; (IF(BH15&lt;&gt;"", BH15/0.5, 0) + IF(BH40&lt;&gt;"", BH40/0.5, 0) + IF(BH61&lt;&gt;"", BH61/0.5, 0)) &amp; " eggs"</f>
        <v>fish: 0 eggs</v>
      </c>
      <c r="BI4" s="2" t="str">
        <f t="shared" ref="BI4:BJ4" si="18">"fish: " &amp; (IF(BI15&lt;&gt;"", BI15/1, 0) + IF(BI40&lt;&gt;"", BI40/1, 0) + IF(BI61&lt;&gt;"", BI61/1, 0)) &amp; " eggs"</f>
        <v>fish: 2 eggs</v>
      </c>
      <c r="BJ4" s="2" t="str">
        <f t="shared" si="18"/>
        <v>fish: 1 eggs</v>
      </c>
      <c r="BK4" s="2" t="str">
        <f>"fish: " &amp; (IF(BK15&lt;&gt;"", BK15/0.5, 0) + IF(BK40&lt;&gt;"", BK40/0.5, 0) + IF(BK61&lt;&gt;"", BK61/0.5, 0)) &amp; " eggs"</f>
        <v>fish: 0 eggs</v>
      </c>
      <c r="BL4" s="2" t="str">
        <f t="shared" ref="BL4:BM4" si="19">"fish: " &amp; (IF(BL15&lt;&gt;"", BL15/1, 0) + IF(BL40&lt;&gt;"", BL40/1, 0) + IF(BL61&lt;&gt;"", BL61/1, 0)) &amp; " eggs"</f>
        <v>fish: 2 eggs</v>
      </c>
      <c r="BM4" s="2" t="str">
        <f t="shared" si="19"/>
        <v>fish: 1 eggs</v>
      </c>
      <c r="BN4" s="2" t="str">
        <f>"fish: " &amp; (IF(BN15&lt;&gt;"", BN15/0.5, 0) + IF(BN40&lt;&gt;"", BN40/0.5, 0) + IF(BN61&lt;&gt;"", BN61/0.5, 0)) &amp; " eggs"</f>
        <v>fish: 1 eggs</v>
      </c>
      <c r="BO4" s="2" t="str">
        <f t="shared" ref="BO4:BP4" si="20">"fish: " &amp; (IF(BO15&lt;&gt;"", BO15/1, 0) + IF(BO40&lt;&gt;"", BO40/1, 0) + IF(BO61&lt;&gt;"", BO61/1, 0)) &amp; " eggs"</f>
        <v>fish: 2 eggs</v>
      </c>
      <c r="BP4" s="2" t="str">
        <f t="shared" si="20"/>
        <v>fish: 1 eggs</v>
      </c>
      <c r="BQ4" s="2" t="str">
        <f>"fish: " &amp; (IF(BQ15&lt;&gt;"", BQ15/0.5, 0) + IF(BQ40&lt;&gt;"", BQ40/0.5, 0) + IF(BQ61&lt;&gt;"", BQ61/0.5, 0)) &amp; " eggs"</f>
        <v>fish: 0 eggs</v>
      </c>
      <c r="BR4" s="2" t="str">
        <f t="shared" ref="BR4:BS4" si="21">"fish: " &amp; (IF(BR15&lt;&gt;"", BR15/2, 0) + IF(BR40&lt;&gt;"", BR40/2, 0) + IF(BR61&lt;&gt;"", BR61/2, 0)) &amp; " eggs"</f>
        <v>fish: 1 eggs</v>
      </c>
      <c r="BS4" s="2" t="str">
        <f t="shared" si="21"/>
        <v>fish: 0.5 eggs</v>
      </c>
      <c r="BT4" s="2" t="str">
        <f>"fish: " &amp; (IF(BT15&lt;&gt;"", BT15/0.5, 0) + IF(BT40&lt;&gt;"", BT40/0.5, 0) + IF(BT61&lt;&gt;"", BT61/0.5, 0)) &amp; " eggs"</f>
        <v>fish: 0 eggs</v>
      </c>
      <c r="BU4" s="2" t="str">
        <f t="shared" ref="BU4:BV4" si="22">"fish: " &amp; (IF(BU15&lt;&gt;"", BU15/1, 0) + IF(BU40&lt;&gt;"", BU40/1, 0) + IF(BU61&lt;&gt;"", BU61/1, 0)) &amp; " eggs"</f>
        <v>fish: 2 eggs</v>
      </c>
      <c r="BV4" s="2" t="str">
        <f t="shared" si="22"/>
        <v>fish: 1 eggs</v>
      </c>
      <c r="BW4" s="2" t="str">
        <f>"fish: " &amp; (IF(BW15&lt;&gt;"", BW15/0.5, 0) + IF(BW40&lt;&gt;"", BW40/0.5, 0) + IF(BW61&lt;&gt;"", BW61/0.5, 0)) &amp; " eggs"</f>
        <v>fish: 0 eggs</v>
      </c>
      <c r="BX4" s="2" t="str">
        <f t="shared" ref="BX4:BY4" si="23">"fish: " &amp; (IF(BX15&lt;&gt;"", BX15/1, 0) + IF(BX40&lt;&gt;"", BX40/1, 0) + IF(BX61&lt;&gt;"", BX61/1, 0)) &amp; " eggs"</f>
        <v>fish: 2 eggs</v>
      </c>
      <c r="BY4" s="2" t="str">
        <f t="shared" si="23"/>
        <v>fish: 1 eggs</v>
      </c>
      <c r="BZ4" s="2" t="str">
        <f>"fish: " &amp; (IF(BZ15&lt;&gt;"", BZ15/0.5, 0) + IF(BZ40&lt;&gt;"", BZ40/0.5, 0) + IF(BZ61&lt;&gt;"", BZ61/0.5, 0)) &amp; " eggs"</f>
        <v>fish: 0 eggs</v>
      </c>
      <c r="CA4" s="2" t="str">
        <f t="shared" ref="CA4:CB4" si="24">"fish: " &amp; (IF(CA15&lt;&gt;"", CA15/1, 0) + IF(CA40&lt;&gt;"", CA40/1, 0) + IF(CA61&lt;&gt;"", CA61/1, 0)) &amp; " eggs"</f>
        <v>fish: 2 eggs</v>
      </c>
      <c r="CB4" s="2" t="str">
        <f t="shared" si="24"/>
        <v>fish: 1 eggs</v>
      </c>
      <c r="CC4" s="2" t="str">
        <f>"fish: " &amp; (IF(CC15&lt;&gt;"", CC15/0.5, 0) + IF(CC40&lt;&gt;"", CC40/0.5, 0) + IF(CC61&lt;&gt;"", CC61/0.5, 0)) &amp; " eggs"</f>
        <v>fish: 1 eggs</v>
      </c>
      <c r="CD4" s="2" t="str">
        <f t="shared" ref="CD4:CE4" si="25">"fish: " &amp; (IF(CD15&lt;&gt;"", CD15/1, 0) + IF(CD40&lt;&gt;"", CD40/1, 0) + IF(CD61&lt;&gt;"", CD61/1, 0)) &amp; " eggs"</f>
        <v>fish: 4 eggs</v>
      </c>
      <c r="CE4" s="2" t="str">
        <f t="shared" si="25"/>
        <v>fish: 3 eggs</v>
      </c>
      <c r="CF4" s="2" t="str">
        <f>"fish: " &amp; (IF(CF15&lt;&gt;"", CF15/0.5, 0) + IF(CF40&lt;&gt;"", CF40/0.5, 0) + IF(CF61&lt;&gt;"", CF61/0.5, 0)) &amp; " eggs"</f>
        <v>fish: 1 eggs</v>
      </c>
      <c r="CG4" s="2" t="str">
        <f t="shared" ref="CG4:CH4" si="26">"fish: " &amp; (IF(CG15&lt;&gt;"", CG15/1, 0) + IF(CG40&lt;&gt;"", CG40/1, 0) + IF(CG61&lt;&gt;"", CG61/1, 0)) &amp; " eggs"</f>
        <v>fish: 4 eggs</v>
      </c>
      <c r="CH4" s="2" t="str">
        <f t="shared" si="26"/>
        <v>fish: 3 eggs</v>
      </c>
      <c r="CI4" s="2"/>
      <c r="CJ4" s="2" t="str">
        <f>"fish: " &amp; (IF(CJ15&lt;&gt;"", CJ15/0.5, 0) + IF(CJ40&lt;&gt;"", CJ40/0.5, 0) + IF(CJ61&lt;&gt;"", CJ61/0.5, 0)) &amp; " eggs"</f>
        <v>fish: 2 eggs</v>
      </c>
      <c r="CK4" s="2" t="str">
        <f t="shared" ref="CK4:CL4" si="27">"fish: " &amp; (IF(CK15&lt;&gt;"", CK15/1, 0) + IF(CK40&lt;&gt;"", CK40/1, 0) + IF(CK61&lt;&gt;"", CK61/1, 0)) &amp; " eggs"</f>
        <v>fish: 4 eggs</v>
      </c>
      <c r="CL4" s="2" t="str">
        <f t="shared" si="27"/>
        <v>fish: 4 eggs</v>
      </c>
      <c r="CM4" s="2"/>
      <c r="CN4" s="2" t="str">
        <f>"fish: " &amp; (IF(CN15&lt;&gt;"", CN15/0.5, 0) + IF(CN40&lt;&gt;"", CN40/0.5, 0) + IF(CN61&lt;&gt;"", CN61/0.5, 0)) &amp; " eggs"</f>
        <v>fish: 5 eggs</v>
      </c>
      <c r="CO4" s="2" t="str">
        <f t="shared" ref="CO4:CP4" si="28">"fish: " &amp; (IF(CO15&lt;&gt;"", CO15/2, 0) + IF(CO40&lt;&gt;"", CO40/2, 0) + IF(CO61&lt;&gt;"", CO61/2, 0)) &amp; " eggs"</f>
        <v>fish: 4.5 eggs</v>
      </c>
      <c r="CP4" s="2" t="str">
        <f t="shared" si="28"/>
        <v>fish: 1.5 eggs</v>
      </c>
    </row>
    <row r="5" ht="21.75" customHeight="1">
      <c r="A5" s="2"/>
      <c r="B5" s="2"/>
      <c r="C5" s="1"/>
      <c r="D5" s="2"/>
      <c r="E5" s="2"/>
      <c r="F5" s="2"/>
      <c r="G5" s="4"/>
      <c r="H5" s="2"/>
      <c r="I5" s="2"/>
      <c r="J5" s="2" t="str">
        <f t="shared" ref="J5:K5" si="29">"murgi: " &amp; IF(J45&lt;&gt;"", J45/1, 0) &amp; " eggs"</f>
        <v>murgi: 0 eggs</v>
      </c>
      <c r="K5" s="2" t="str">
        <f t="shared" si="29"/>
        <v>murgi: 1 eggs</v>
      </c>
      <c r="L5" s="2"/>
      <c r="M5" s="2" t="str">
        <f t="shared" ref="M5:N5" si="30">"murgi: " &amp; IF(M45&lt;&gt;"", M45/1, 0) &amp; " eggs"</f>
        <v>murgi: 1 eggs</v>
      </c>
      <c r="N5" s="2" t="str">
        <f t="shared" si="30"/>
        <v>murgi: 1 eggs</v>
      </c>
      <c r="O5" s="2"/>
      <c r="P5" s="2" t="str">
        <f t="shared" ref="P5:Q5" si="31">"murgi: " &amp; IF(P45&lt;&gt;"", P45/1, 0) &amp; " eggs"</f>
        <v>murgi: 1 eggs</v>
      </c>
      <c r="Q5" s="2" t="str">
        <f t="shared" si="31"/>
        <v>murgi: 1 eggs</v>
      </c>
      <c r="R5" s="2"/>
      <c r="S5" s="2" t="str">
        <f t="shared" ref="S5:T5" si="32">"murgi: " &amp; IF(S45&lt;&gt;"", S45/1, 0) &amp; " eggs"</f>
        <v>murgi: 1 eggs</v>
      </c>
      <c r="T5" s="2" t="str">
        <f t="shared" si="32"/>
        <v>murgi: 1 eggs</v>
      </c>
      <c r="U5" s="2"/>
      <c r="V5" s="2" t="str">
        <f t="shared" ref="V5:W5" si="33">"murgi: " &amp; IF(V45&lt;&gt;"", V45/1, 0) &amp; " eggs"</f>
        <v>murgi: 1 eggs</v>
      </c>
      <c r="W5" s="2" t="str">
        <f t="shared" si="33"/>
        <v>murgi: 1 eggs</v>
      </c>
      <c r="X5" s="2"/>
      <c r="Y5" s="2" t="str">
        <f t="shared" ref="Y5:Z5" si="34">"murgi: " &amp; IF(Y45&lt;&gt;"", Y45/1, 0) &amp; " eggs"</f>
        <v>murgi: 1 eggs</v>
      </c>
      <c r="Z5" s="2" t="str">
        <f t="shared" si="34"/>
        <v>murgi: 1 eggs</v>
      </c>
      <c r="AA5" s="2"/>
      <c r="AB5" s="2" t="str">
        <f t="shared" ref="AB5:AC5" si="35">"murgi: " &amp; IF(AB45&lt;&gt;"", AB45/2, 0) &amp; " eggs"</f>
        <v>murgi: 1 eggs</v>
      </c>
      <c r="AC5" s="2" t="str">
        <f t="shared" si="35"/>
        <v>murgi: 0.5 eggs</v>
      </c>
      <c r="AD5" s="2"/>
      <c r="AE5" s="2" t="str">
        <f t="shared" ref="AE5:AF5" si="36">"murgi: " &amp; IF(AE45&lt;&gt;"", AE45/1, 0) &amp; " eggs"</f>
        <v>murgi: 1 eggs</v>
      </c>
      <c r="AF5" s="2" t="str">
        <f t="shared" si="36"/>
        <v>murgi: 1 eggs</v>
      </c>
      <c r="AG5" s="2"/>
      <c r="AH5" s="2" t="str">
        <f t="shared" ref="AH5:AI5" si="37">"murgi: " &amp; IF(AH45&lt;&gt;"", AH45/1, 0) &amp; " eggs"</f>
        <v>murgi: 1 eggs</v>
      </c>
      <c r="AI5" s="2" t="str">
        <f t="shared" si="37"/>
        <v>murgi: 1 eggs</v>
      </c>
      <c r="AJ5" s="2"/>
      <c r="AK5" s="2" t="str">
        <f t="shared" ref="AK5:AL5" si="38">"murgi: " &amp; IF(AK45&lt;&gt;"", AK45/1, 0) &amp; " eggs"</f>
        <v>murgi: 0 eggs</v>
      </c>
      <c r="AL5" s="2" t="str">
        <f t="shared" si="38"/>
        <v>murgi: 0 eggs</v>
      </c>
      <c r="AM5" s="2"/>
      <c r="AN5" s="2" t="str">
        <f t="shared" ref="AN5:AO5" si="39">"murgi: " &amp; IF(AN45&lt;&gt;"", AN45/1, 0) &amp; " eggs"</f>
        <v>murgi: 0 eggs</v>
      </c>
      <c r="AO5" s="2" t="str">
        <f t="shared" si="39"/>
        <v>murgi: 0 eggs</v>
      </c>
      <c r="AP5" s="2"/>
      <c r="AQ5" s="2" t="str">
        <f t="shared" ref="AQ5:AR5" si="40">"murgi: " &amp; IF(AQ45&lt;&gt;"", AQ45/1, 0) &amp; " eggs"</f>
        <v>murgi: 0 eggs</v>
      </c>
      <c r="AR5" s="2" t="str">
        <f t="shared" si="40"/>
        <v>murgi: 0 eggs</v>
      </c>
      <c r="AS5" s="2"/>
      <c r="AT5" s="2" t="str">
        <f t="shared" ref="AT5:AU5" si="41">"murgi: " &amp; IF(AT45&lt;&gt;"", AT45/1, 0) &amp; " eggs"</f>
        <v>murgi: 0 eggs</v>
      </c>
      <c r="AU5" s="2" t="str">
        <f t="shared" si="41"/>
        <v>murgi: 0 eggs</v>
      </c>
      <c r="AV5" s="2"/>
      <c r="AW5" s="2" t="str">
        <f t="shared" ref="AW5:AX5" si="42">"murgi: " &amp; IF(AW45&lt;&gt;"", AW45/2, 0) &amp; " eggs"</f>
        <v>murgi: 0 eggs</v>
      </c>
      <c r="AX5" s="2" t="str">
        <f t="shared" si="42"/>
        <v>murgi: 0 eggs</v>
      </c>
      <c r="AY5" s="2"/>
      <c r="AZ5" s="2" t="str">
        <f t="shared" ref="AZ5:BA5" si="43">"murgi: " &amp; IF(AZ45&lt;&gt;"", AZ45/1, 0) &amp; " eggs"</f>
        <v>murgi: 0 eggs</v>
      </c>
      <c r="BA5" s="2" t="str">
        <f t="shared" si="43"/>
        <v>murgi: 0 eggs</v>
      </c>
      <c r="BB5" s="2"/>
      <c r="BC5" s="2" t="str">
        <f t="shared" ref="BC5:BD5" si="44">"murgi: " &amp; IF(BC45&lt;&gt;"", BC45/1, 0) &amp; " eggs"</f>
        <v>murgi: 0 eggs</v>
      </c>
      <c r="BD5" s="2" t="str">
        <f t="shared" si="44"/>
        <v>murgi: 0 eggs</v>
      </c>
      <c r="BE5" s="2"/>
      <c r="BF5" s="2" t="str">
        <f t="shared" ref="BF5:BG5" si="45">"murgi: " &amp; IF(BF45&lt;&gt;"", BF45/1, 0) &amp; " eggs"</f>
        <v>murgi: 0 eggs</v>
      </c>
      <c r="BG5" s="2" t="str">
        <f t="shared" si="45"/>
        <v>murgi: 0 eggs</v>
      </c>
      <c r="BH5" s="2"/>
      <c r="BI5" s="2" t="str">
        <f t="shared" ref="BI5:BJ5" si="46">"murgi: " &amp; IF(BI45&lt;&gt;"", BI45/1, 0) &amp; " eggs"</f>
        <v>murgi: 0 eggs</v>
      </c>
      <c r="BJ5" s="2" t="str">
        <f t="shared" si="46"/>
        <v>murgi: 0 eggs</v>
      </c>
      <c r="BK5" s="2"/>
      <c r="BL5" s="2" t="str">
        <f t="shared" ref="BL5:BM5" si="47">"murgi: " &amp; IF(BL45&lt;&gt;"", BL45/1, 0) &amp; " eggs"</f>
        <v>murgi: 0 eggs</v>
      </c>
      <c r="BM5" s="2" t="str">
        <f t="shared" si="47"/>
        <v>murgi: 0 eggs</v>
      </c>
      <c r="BN5" s="2"/>
      <c r="BO5" s="2" t="str">
        <f t="shared" ref="BO5:BP5" si="48">"murgi: " &amp; IF(BO45&lt;&gt;"", BO45/1, 0) &amp; " eggs"</f>
        <v>murgi: 0 eggs</v>
      </c>
      <c r="BP5" s="2" t="str">
        <f t="shared" si="48"/>
        <v>murgi: 0 eggs</v>
      </c>
      <c r="BQ5" s="2"/>
      <c r="BR5" s="2" t="str">
        <f t="shared" ref="BR5:BS5" si="49">"murgi: " &amp; IF(BR45&lt;&gt;"", BR45/2, 0) &amp; " eggs"</f>
        <v>murgi: 0 eggs</v>
      </c>
      <c r="BS5" s="2" t="str">
        <f t="shared" si="49"/>
        <v>murgi: 0 eggs</v>
      </c>
      <c r="BT5" s="2"/>
      <c r="BU5" s="2" t="str">
        <f t="shared" ref="BU5:BV5" si="50">"murgi: " &amp; IF(BU45&lt;&gt;"", BU45/1, 0) &amp; " eggs"</f>
        <v>murgi: 0 eggs</v>
      </c>
      <c r="BV5" s="2" t="str">
        <f t="shared" si="50"/>
        <v>murgi: 0 eggs</v>
      </c>
      <c r="BW5" s="2"/>
      <c r="BX5" s="2" t="str">
        <f t="shared" ref="BX5:BY5" si="51">"murgi: " &amp; IF(BX45&lt;&gt;"", BX45/1, 0) &amp; " eggs"</f>
        <v>murgi: 0 eggs</v>
      </c>
      <c r="BY5" s="2" t="str">
        <f t="shared" si="51"/>
        <v>murgi: 0 eggs</v>
      </c>
      <c r="BZ5" s="2"/>
      <c r="CA5" s="2" t="str">
        <f t="shared" ref="CA5:CB5" si="52">"murgi: " &amp; IF(CA45&lt;&gt;"", CA45/1, 0) &amp; " eggs"</f>
        <v>murgi: 0 eggs</v>
      </c>
      <c r="CB5" s="2" t="str">
        <f t="shared" si="52"/>
        <v>murgi: 0 eggs</v>
      </c>
      <c r="CC5" s="2"/>
      <c r="CD5" s="2" t="str">
        <f t="shared" ref="CD5:CE5" si="53">"murgi: " &amp; IF(CD45&lt;&gt;"", CD45/1, 0) &amp; " eggs"</f>
        <v>murgi: 0 eggs</v>
      </c>
      <c r="CE5" s="2" t="str">
        <f t="shared" si="53"/>
        <v>murgi: 0 eggs</v>
      </c>
      <c r="CF5" s="2"/>
      <c r="CG5" s="2" t="str">
        <f t="shared" ref="CG5:CH5" si="54">"murgi: " &amp; IF(CG45&lt;&gt;"", CG45/1, 0) &amp; " eggs"</f>
        <v>murgi: 0 eggs</v>
      </c>
      <c r="CH5" s="2" t="str">
        <f t="shared" si="54"/>
        <v>murgi: 0 eggs</v>
      </c>
      <c r="CI5" s="2"/>
      <c r="CJ5" s="2"/>
      <c r="CK5" s="2" t="str">
        <f t="shared" ref="CK5:CL5" si="55">"murgi: " &amp; IF(CK45&lt;&gt;"", CK45/1, 0) &amp; " eggs"</f>
        <v>murgi: 0 eggs</v>
      </c>
      <c r="CL5" s="2" t="str">
        <f t="shared" si="55"/>
        <v>murgi: 0 eggs</v>
      </c>
      <c r="CM5" s="2"/>
      <c r="CN5" s="2"/>
      <c r="CO5" s="2" t="str">
        <f t="shared" ref="CO5:CP5" si="56">"murgi: " &amp; IF(CO45&lt;&gt;"", CO45/2, 0) &amp; " eggs"</f>
        <v>murgi: 0 eggs</v>
      </c>
      <c r="CP5" s="2" t="str">
        <f t="shared" si="56"/>
        <v>murgi: 0 eggs</v>
      </c>
    </row>
    <row r="6" ht="21.75" customHeight="1">
      <c r="A6" s="5" t="s">
        <v>12</v>
      </c>
      <c r="B6" s="7"/>
      <c r="C6" s="1"/>
      <c r="D6" s="2"/>
      <c r="E6" s="2"/>
      <c r="F6" s="2"/>
      <c r="G6" s="4"/>
      <c r="H6" s="2" t="s">
        <v>13</v>
      </c>
      <c r="I6" s="2">
        <f>SUMPRODUCT(($B$8:$B$109 &gt;= 200) * ($B$8:$B$109 &lt;= 399) * (I8:I109 &lt;&gt; "") * (I8:I109 / 0.5))</f>
        <v>0</v>
      </c>
      <c r="J6" s="2">
        <f t="shared" ref="J6:K6" si="57">sumifs(J8:J107, $B$8:$B$107, "&gt;200", $B$8:$B$107, "&lt;399")</f>
        <v>0</v>
      </c>
      <c r="K6" s="2">
        <f t="shared" si="57"/>
        <v>16</v>
      </c>
      <c r="L6" s="2">
        <f>SUMPRODUCT(($B$8:$B$109 &gt;= 200) * ($B$8:$B$109 &lt;= 399) * (L8:L109 &lt;&gt; "") * (L8:L109 / 0.5))</f>
        <v>10</v>
      </c>
      <c r="M6" s="2">
        <f t="shared" ref="M6:N6" si="58">sumifs(M8:M107, $B$8:$B$107, "&gt;200", $B$8:$B$107, "&lt;399")</f>
        <v>19</v>
      </c>
      <c r="N6" s="2">
        <f t="shared" si="58"/>
        <v>15</v>
      </c>
      <c r="O6" s="2">
        <f>SUMPRODUCT(($B$8:$B$109 &gt;= 200) * ($B$8:$B$109 &lt;= 399) * (O8:O109 &lt;&gt; "") * (O8:O109 / 0.5))</f>
        <v>7</v>
      </c>
      <c r="P6" s="2">
        <f t="shared" ref="P6:Q6" si="59">sumifs(P8:P107, $B$8:$B$107, "&gt;200", $B$8:$B$107, "&lt;399")</f>
        <v>18</v>
      </c>
      <c r="Q6" s="2">
        <f t="shared" si="59"/>
        <v>10</v>
      </c>
      <c r="R6" s="2">
        <f>SUMPRODUCT(($B$8:$B$109 &gt;= 200) * ($B$8:$B$109 &lt;= 399) * (R8:R109 &lt;&gt; "") * (R8:R109 / 0.5))</f>
        <v>12</v>
      </c>
      <c r="S6" s="2">
        <f t="shared" ref="S6:T6" si="60">sumifs(S8:S107, $B$8:$B$107, "&gt;200", $B$8:$B$107, "&lt;399")</f>
        <v>21</v>
      </c>
      <c r="T6" s="2">
        <f t="shared" si="60"/>
        <v>18</v>
      </c>
      <c r="U6" s="2">
        <f>SUMPRODUCT(($B$8:$B$109 &gt;= 200) * ($B$8:$B$109 &lt;= 399) * (U8:U109 &lt;&gt; "") * (U8:U109 / 0.5))</f>
        <v>13</v>
      </c>
      <c r="V6" s="2">
        <f t="shared" ref="V6:W6" si="61">sumifs(V8:V107, $B$8:$B$107, "&gt;200", $B$8:$B$107, "&lt;399")</f>
        <v>19</v>
      </c>
      <c r="W6" s="2">
        <f t="shared" si="61"/>
        <v>17</v>
      </c>
      <c r="X6" s="2">
        <f>SUMPRODUCT(($B$8:$B$109 &gt;= 200) * ($B$8:$B$109 &lt;= 399) * (X8:X109 &lt;&gt; "") * (X8:X109 / 0.5))</f>
        <v>12</v>
      </c>
      <c r="Y6" s="2">
        <f t="shared" ref="Y6:Z6" si="62">sumifs(Y8:Y107, $B$8:$B$107, "&gt;200", $B$8:$B$107, "&lt;399")</f>
        <v>22</v>
      </c>
      <c r="Z6" s="2">
        <f t="shared" si="62"/>
        <v>18</v>
      </c>
      <c r="AA6" s="2">
        <f>SUMPRODUCT(($B$8:$B$109 &gt;= 200) * ($B$8:$B$109 &lt;= 399) * (AA8:AA109 &lt;&gt; "") * (AA8:AA109 / 0.5))</f>
        <v>8</v>
      </c>
      <c r="AB6" s="2">
        <f t="shared" ref="AB6:AC6" si="63">sumifs(AB8:AB107, $B$8:$B$107, "&gt;200", $B$8:$B$107, "&lt;399")</f>
        <v>40</v>
      </c>
      <c r="AC6" s="2">
        <f t="shared" si="63"/>
        <v>16</v>
      </c>
      <c r="AD6" s="2">
        <f>SUMPRODUCT(($B$8:$B$109 &gt;= 200) * ($B$8:$B$109 &lt;= 399) * (AD8:AD109 &lt;&gt; "") * (AD8:AD109 / 0.5))</f>
        <v>10</v>
      </c>
      <c r="AE6" s="2">
        <f t="shared" ref="AE6:AF6" si="64">sumifs(AE8:AE107, $B$8:$B$107, "&gt;200", $B$8:$B$107, "&lt;399")</f>
        <v>22</v>
      </c>
      <c r="AF6" s="2">
        <f t="shared" si="64"/>
        <v>17</v>
      </c>
      <c r="AG6" s="2">
        <f>SUMPRODUCT(($B$8:$B$109 &gt;= 200) * ($B$8:$B$109 &lt;= 399) * (AG8:AG109 &lt;&gt; "") * (AG8:AG109 / 0.5))</f>
        <v>11</v>
      </c>
      <c r="AH6" s="2">
        <f t="shared" ref="AH6:AI6" si="65">sumifs(AH8:AH107, $B$8:$B$107, "&gt;200", $B$8:$B$107, "&lt;399")</f>
        <v>21</v>
      </c>
      <c r="AI6" s="2">
        <f t="shared" si="65"/>
        <v>19</v>
      </c>
      <c r="AJ6" s="2">
        <f>SUMPRODUCT(($B$8:$B$109 &gt;= 200) * ($B$8:$B$109 &lt;= 399) * (AJ8:AJ109 &lt;&gt; "") * (AJ8:AJ109 / 0.5))</f>
        <v>7</v>
      </c>
      <c r="AK6" s="2">
        <f t="shared" ref="AK6:AL6" si="66">sumifs(AK8:AK107, $B$8:$B$107, "&gt;200", $B$8:$B$107, "&lt;399")</f>
        <v>19</v>
      </c>
      <c r="AL6" s="2">
        <f t="shared" si="66"/>
        <v>19</v>
      </c>
      <c r="AM6" s="2">
        <f>SUMPRODUCT(($B$8:$B$109 &gt;= 200) * ($B$8:$B$109 &lt;= 399) * (AM8:AM109 &lt;&gt; "") * (AM8:AM109 / 0.5))</f>
        <v>13</v>
      </c>
      <c r="AN6" s="2">
        <f t="shared" ref="AN6:AO6" si="67">sumifs(AN8:AN107, $B$8:$B$107, "&gt;200", $B$8:$B$107, "&lt;399")</f>
        <v>19</v>
      </c>
      <c r="AO6" s="2">
        <f t="shared" si="67"/>
        <v>16</v>
      </c>
      <c r="AP6" s="2">
        <f>SUMPRODUCT(($B$8:$B$109 &gt;= 200) * ($B$8:$B$109 &lt;= 399) * (AP8:AP109 &lt;&gt; "") * (AP8:AP109 / 0.5))</f>
        <v>6</v>
      </c>
      <c r="AQ6" s="2">
        <f t="shared" ref="AQ6:AR6" si="68">sumifs(AQ8:AQ107, $B$8:$B$107, "&gt;200", $B$8:$B$107, "&lt;399")</f>
        <v>18</v>
      </c>
      <c r="AR6" s="2">
        <f t="shared" si="68"/>
        <v>20</v>
      </c>
      <c r="AS6" s="2">
        <f>SUMPRODUCT(($B$8:$B$109 &gt;= 200) * ($B$8:$B$109 &lt;= 399) * (AS8:AS109 &lt;&gt; "") * (AS8:AS109 / 0.5))</f>
        <v>22</v>
      </c>
      <c r="AT6" s="2">
        <f t="shared" ref="AT6:AU6" si="69">sumifs(AT8:AT107, $B$8:$B$107, "&gt;200", $B$8:$B$107, "&lt;399")</f>
        <v>17</v>
      </c>
      <c r="AU6" s="2">
        <f t="shared" si="69"/>
        <v>17</v>
      </c>
      <c r="AV6" s="2">
        <f>SUMPRODUCT(($B$8:$B$109 &gt;= 200) * ($B$8:$B$109 &lt;= 399) * (AV8:AV109 &lt;&gt; "") * (AV8:AV109 / 0.5))</f>
        <v>9</v>
      </c>
      <c r="AW6" s="2">
        <f t="shared" ref="AW6:AX6" si="70">sumifs(AW8:AW107, $B$8:$B$107, "&gt;200", $B$8:$B$107, "&lt;399")</f>
        <v>20</v>
      </c>
      <c r="AX6" s="2">
        <f t="shared" si="70"/>
        <v>16</v>
      </c>
      <c r="AY6" s="2">
        <f>SUMPRODUCT(($B$8:$B$109 &gt;= 200) * ($B$8:$B$109 &lt;= 399) * (AY8:AY109 &lt;&gt; "") * (AY8:AY109 / 0.5))</f>
        <v>6</v>
      </c>
      <c r="AZ6" s="2">
        <f t="shared" ref="AZ6:BA6" si="71">sumifs(AZ8:AZ107, $B$8:$B$107, "&gt;200", $B$8:$B$107, "&lt;399")</f>
        <v>18</v>
      </c>
      <c r="BA6" s="2">
        <f t="shared" si="71"/>
        <v>17</v>
      </c>
      <c r="BB6" s="2">
        <f>SUMPRODUCT(($B$8:$B$109 &gt;= 200) * ($B$8:$B$109 &lt;= 399) * (BB8:BB109 &lt;&gt; "") * (BB8:BB109 / 0.5))</f>
        <v>12</v>
      </c>
      <c r="BC6" s="2">
        <f t="shared" ref="BC6:BD6" si="72">sumifs(BC8:BC107, $B$8:$B$107, "&gt;200", $B$8:$B$107, "&lt;399")</f>
        <v>21</v>
      </c>
      <c r="BD6" s="2">
        <f t="shared" si="72"/>
        <v>12</v>
      </c>
      <c r="BE6" s="2">
        <f>SUMPRODUCT(($B$8:$B$109 &gt;= 200) * ($B$8:$B$109 &lt;= 399) * (BE8:BE109 &lt;&gt; "") * (BE8:BE109 / 0.5))</f>
        <v>9</v>
      </c>
      <c r="BF6" s="2">
        <f t="shared" ref="BF6:BG6" si="73">sumifs(BF8:BF107, $B$8:$B$107, "&gt;200", $B$8:$B$107, "&lt;399")</f>
        <v>20</v>
      </c>
      <c r="BG6" s="2">
        <f t="shared" si="73"/>
        <v>18</v>
      </c>
      <c r="BH6" s="2">
        <f>SUMPRODUCT(($B$8:$B$109 &gt;= 200) * ($B$8:$B$109 &lt;= 399) * (BH8:BH109 &lt;&gt; "") * (BH8:BH109 / 0.5))</f>
        <v>10</v>
      </c>
      <c r="BI6" s="2">
        <f t="shared" ref="BI6:BJ6" si="74">sumifs(BI8:BI107, $B$8:$B$107, "&gt;200", $B$8:$B$107, "&lt;399")</f>
        <v>22</v>
      </c>
      <c r="BJ6" s="2">
        <f t="shared" si="74"/>
        <v>19</v>
      </c>
      <c r="BK6" s="2">
        <f>SUMPRODUCT(($B$8:$B$109 &gt;= 200) * ($B$8:$B$109 &lt;= 399) * (BK8:BK109 &lt;&gt; "") * (BK8:BK109 / 0.5))</f>
        <v>0</v>
      </c>
      <c r="BL6" s="2">
        <f t="shared" ref="BL6:BM6" si="75">sumifs(BL8:BL107, $B$8:$B$107, "&gt;200", $B$8:$B$107, "&lt;399")</f>
        <v>21</v>
      </c>
      <c r="BM6" s="2">
        <f t="shared" si="75"/>
        <v>20</v>
      </c>
      <c r="BN6" s="2">
        <f>SUMPRODUCT(($B$8:$B$109 &gt;= 200) * ($B$8:$B$109 &lt;= 399) * (BN8:BN109 &lt;&gt; "") * (BN8:BN109 / 0.5))</f>
        <v>10</v>
      </c>
      <c r="BO6" s="2">
        <f t="shared" ref="BO6:BP6" si="76">sumifs(BO8:BO107, $B$8:$B$107, "&gt;200", $B$8:$B$107, "&lt;399")</f>
        <v>22</v>
      </c>
      <c r="BP6" s="2">
        <f t="shared" si="76"/>
        <v>18</v>
      </c>
      <c r="BQ6" s="2">
        <f>SUMPRODUCT(($B$8:$B$109 &gt;= 200) * ($B$8:$B$109 &lt;= 399) * (BQ8:BQ109 &lt;&gt; "") * (BQ8:BQ109 / 0.5))</f>
        <v>10</v>
      </c>
      <c r="BR6" s="2">
        <f>IFERROR(__xludf.DUMMYFUNCTION("SUM(FILTER(ARRAYFORMULA(IF(BR8:BR107 &gt;= 2, 1 + INT((BR8:BR107 - 2) / 3), 0)), ($B$8:$B$107 &gt; 200) * ($B$8:$B$107 &lt; 399)))"),23.0)</f>
        <v>23</v>
      </c>
      <c r="BS6" s="2">
        <f>sumifs(BS8:BS107, $B$8:$B$107, "&gt;200", $B$8:$B$107, "&lt;399")</f>
        <v>18</v>
      </c>
      <c r="BT6" s="2">
        <f>SUMPRODUCT(($B$8:$B$109 &gt;= 200) * ($B$8:$B$109 &lt;= 399) * (BT8:BT109 &lt;&gt; "") * (BT8:BT109 / 0.5))</f>
        <v>9</v>
      </c>
      <c r="BU6" s="2">
        <f t="shared" ref="BU6:BV6" si="77">sumifs(BU8:BU107, $B$8:$B$107, "&gt;200", $B$8:$B$107, "&lt;399")</f>
        <v>17.5</v>
      </c>
      <c r="BV6" s="2">
        <f t="shared" si="77"/>
        <v>18</v>
      </c>
      <c r="BW6" s="2">
        <f>SUMPRODUCT(($B$8:$B$109 &gt;= 200) * ($B$8:$B$109 &lt;= 399) * (BW8:BW109 &lt;&gt; "") * (BW8:BW109 / 0.5))</f>
        <v>10</v>
      </c>
      <c r="BX6" s="2">
        <f t="shared" ref="BX6:BY6" si="78">sumifs(BX8:BX107, $B$8:$B$107, "&gt;200", $B$8:$B$107, "&lt;399")</f>
        <v>22</v>
      </c>
      <c r="BY6" s="2">
        <f t="shared" si="78"/>
        <v>19</v>
      </c>
      <c r="BZ6" s="2">
        <f>SUMPRODUCT(($B$8:$B$109 &gt;= 200) * ($B$8:$B$109 &lt;= 399) * (BZ8:BZ109 &lt;&gt; "") * (BZ8:BZ109 / 0.5))</f>
        <v>11</v>
      </c>
      <c r="CA6" s="2">
        <f t="shared" ref="CA6:CB6" si="79">sumifs(CA8:CA107, $B$8:$B$107, "&gt;200", $B$8:$B$107, "&lt;399")</f>
        <v>21</v>
      </c>
      <c r="CB6" s="2">
        <f t="shared" si="79"/>
        <v>20</v>
      </c>
      <c r="CC6" s="2">
        <f>SUMPRODUCT(($B$8:$B$109 &gt;= 200) * ($B$8:$B$109 &lt;= 399) * (CC8:CC109 &lt;&gt; "") * (CC8:CC109 / 0.5))</f>
        <v>13</v>
      </c>
      <c r="CD6" s="2">
        <f t="shared" ref="CD6:CE6" si="80">sumifs(CD8:CD107, $B$8:$B$107, "&gt;200", $B$8:$B$107, "&lt;399")</f>
        <v>24</v>
      </c>
      <c r="CE6" s="2">
        <f t="shared" si="80"/>
        <v>21</v>
      </c>
      <c r="CF6" s="2">
        <f>SUMPRODUCT(($B$8:$B$109 &gt;= 200) * ($B$8:$B$109 &lt;= 399) * (CF8:CF109 &lt;&gt; "") * (CF8:CF109 / 0.5))</f>
        <v>13</v>
      </c>
      <c r="CG6" s="2">
        <f t="shared" ref="CG6:CH6" si="81">sumifs(CG8:CG107, $B$8:$B$107, "&gt;200", $B$8:$B$107, "&lt;399")</f>
        <v>24</v>
      </c>
      <c r="CH6" s="2">
        <f t="shared" si="81"/>
        <v>21</v>
      </c>
      <c r="CI6" s="2"/>
      <c r="CJ6" s="2">
        <f>SUMPRODUCT(($B$8:$B$109 &gt;= 200) * ($B$8:$B$109 &lt;= 399) * (CJ8:CJ109 &lt;&gt; "") * (CJ8:CJ109 / 0.5))</f>
        <v>12</v>
      </c>
      <c r="CK6" s="2">
        <f t="shared" ref="CK6:CL6" si="82">sumifs(CK8:CK107, $B$8:$B$107, "&gt;200", $B$8:$B$107, "&lt;399")</f>
        <v>22</v>
      </c>
      <c r="CL6" s="2">
        <f t="shared" si="82"/>
        <v>21</v>
      </c>
      <c r="CM6" s="1" t="str">
        <f t="shared" ref="CM6:CM69" si="85">IF(
    TRIM($C6) = "3 Time",
    IF(AND(NOT(ISBLANK(CN6)), NOT(ISBLANK(CO6)), NOT(ISBLANK(CP6))), "OK", "Check"),
    IF(
        OR(TRIM($C6) = "M+N", TRIM($C6) = "M + N"),
        IF(AND(NOT(ISBLANK(CN6)), ISBLANK(CO6), NOT(ISBLANK(CP6))), "OK", "Check"),
        IF(
            TRIM($C6) = "D",
            IF(AND(ISBLANK(CN6), NOT(ISBLANK(CO6)), ISBLANK(CP6)), "OK", "Check"),
            IF(
                OR(TRIM($C6) = "D+N", TRIM($C6) = "D + N"),
                IF(AND(ISBLANK(CN6), NOT(ISBLANK(CO6)), NOT(ISBLANK(CP6))), "OK", "Check"),
                IF(
                    OR(TRIM($C6) = "M+D", TRIM($C6) = "M + D"),
                    IF(AND(NOT(ISBLANK(CN6)), NOT(ISBLANK(CO6)), ISBLANK(CP6)), "OK", "Check"),
                    IF(
                        TRIM($C6) = "M",
                        IF(AND(NOT(ISBLANK(CN6)), ISBLANK(CO6), ISBLANK(CP6)), "OK", "Check"),
                        "Check"
                    )
                )
            )
        )
    )
)</f>
        <v>Check</v>
      </c>
      <c r="CN6" s="2">
        <f>SUMPRODUCT(($B$8:$B$109 &gt;= 200) * ($B$8:$B$109 &lt;= 399) * (CN8:CN109 &lt;&gt; "") * (CN8:CN109 / 0.5))</f>
        <v>20</v>
      </c>
      <c r="CO6" s="2">
        <f t="shared" ref="CO6:CP6" si="83">sumifs(CO8:CO107, $B$8:$B$107, "&gt;200", $B$8:$B$107, "&lt;399")</f>
        <v>47</v>
      </c>
      <c r="CP6" s="2">
        <f t="shared" si="83"/>
        <v>16</v>
      </c>
    </row>
    <row r="7" ht="24.0" customHeight="1">
      <c r="A7" s="12"/>
      <c r="B7" s="12"/>
      <c r="C7" s="13"/>
      <c r="D7" s="14" t="str">
        <f>IFERROR(__xludf.DUMMYFUNCTION("IMPORTRANGE(""https://docs.google.com/spreadsheets/d/1s4GIn77ozPYLkviTGY9JZwFiP83CdAjzj1034nd0cVM/edit?gid=0#gid=0"",""cash_flow!k2:k100"")"),"Balance")</f>
        <v>Balance</v>
      </c>
      <c r="E7" s="12"/>
      <c r="F7" s="13"/>
      <c r="G7" s="1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"/>
      <c r="BO7" s="1"/>
      <c r="BP7" s="1"/>
      <c r="BQ7" s="1" t="str">
        <f>IF(
    TRIM(D7) = "3 Time",
    IF(AND(NOT(ISBLANK(BR7)), NOT(ISBLANK(BS7)), NOT(ISBLANK(#REF!))), "OK", "Check"),
    IF(
        OR(TRIM(D7) = "M+N", TRIM(D7) = "M + N"),
        IF(AND(NOT(ISBLANK(BR7)), ISBLANK(BS7), NOT(ISBLANK(#REF!))), "OK", "Check"),
        IF(
            TRIM(D7) = "D",
            IF(AND(ISBLANK(BR7), NOT(ISBLANK(BS7)), ISBLANK(#REF!)), "OK", "Check"),
            IF(
                OR(TRIM(D7) = "D+N", TRIM(D7) = "D + N"),
                IF(AND(ISBLANK(BR7), NOT(ISBLANK(BS7)), NOT(ISBLANK(#REF!))), "OK", "Check"),
                IF(
                    OR(TRIM(D7) = "M+D", TRIM(D7) = "M + D"),
                    IF(AND(NOT(ISBLANK(BR7)), NOT(ISBLANK(BS7)), ISBLANK(#REF!)), "OK", "Check"),
                    IF(
                        TRIM(D7) = "M",
                        IF(AND(NOT(ISBLANK(BR7)), ISBLANK(BS7), ISBLANK(#REF!)), "OK", "Check"),
                        "Check"
                    )
                )
            )
        )
    )
)</f>
        <v>Check</v>
      </c>
      <c r="BR7" s="1" t="str">
        <f>IF(
    TRIM(E7) = "3 Time",
    IF(AND(NOT(ISBLANK(BS7)), NOT(ISBLANK(#REF!)), NOT(ISBLANK(BT7))), "OK", "Check"),
    IF(
        OR(TRIM(E7) = "M+N", TRIM(E7) = "M + N"),
        IF(AND(NOT(ISBLANK(BS7)), ISBLANK(#REF!), NOT(ISBLANK(BT7))), "OK", "Check"),
        IF(
            TRIM(E7) = "D",
            IF(AND(ISBLANK(BS7), NOT(ISBLANK(#REF!)), ISBLANK(BT7)), "OK", "Check"),
            IF(
                OR(TRIM(E7) = "D+N", TRIM(E7) = "D + N"),
                IF(AND(ISBLANK(BS7), NOT(ISBLANK(#REF!)), NOT(ISBLANK(BT7))), "OK", "Check"),
                IF(
                    OR(TRIM(E7) = "M+D", TRIM(E7) = "M + D"),
                    IF(AND(NOT(ISBLANK(BS7)), NOT(ISBLANK(#REF!)), ISBLANK(BT7)), "OK", "Check"),
                    IF(
                        TRIM(E7) = "M",
                        IF(AND(NOT(ISBLANK(BS7)), ISBLANK(#REF!), ISBLANK(BT7)), "OK", "Check"),
                        "Check"
                    )
                )
            )
        )
    )
)</f>
        <v>Check</v>
      </c>
      <c r="BS7" s="1" t="str">
        <f>IF(
    TRIM(F7) = "3 Time",
    IF(AND(NOT(ISBLANK(#REF!)), NOT(ISBLANK(BT7)), NOT(ISBLANK(BU7))), "OK", "Check"),
    IF(
        OR(TRIM(F7) = "M+N", TRIM(F7) = "M + N"),
        IF(AND(NOT(ISBLANK(#REF!)), ISBLANK(BT7), NOT(ISBLANK(BU7))), "OK", "Check"),
        IF(
            TRIM(F7) = "D",
            IF(AND(ISBLANK(#REF!), NOT(ISBLANK(BT7)), ISBLANK(BU7)), "OK", "Check"),
            IF(
                OR(TRIM(F7) = "D+N", TRIM(F7) = "D + N"),
                IF(AND(ISBLANK(#REF!), NOT(ISBLANK(BT7)), NOT(ISBLANK(BU7))), "OK", "Check"),
                IF(
                    OR(TRIM(F7) = "M+D", TRIM(F7) = "M + D"),
                    IF(AND(NOT(ISBLANK(#REF!)), NOT(ISBLANK(BT7)), ISBLANK(BU7)), "OK", "Check"),
                    IF(
                        TRIM(F7) = "M",
                        IF(AND(NOT(ISBLANK(#REF!)), ISBLANK(BT7), ISBLANK(BU7)), "OK", "Check"),
                        "Check"
                    )
                )
            )
        )
    )
)</f>
        <v>Check</v>
      </c>
      <c r="BT7" s="1" t="str">
        <f t="shared" ref="BT7:BY7" si="84">IF(
    TRIM($C7) = "3 Time",
    IF(AND(NOT(ISBLANK(BU7)), NOT(ISBLANK(BV7)), NOT(ISBLANK(BW7))), "OK", "Check"),
    IF(
        OR(TRIM($C7) = "M+N", TRIM($C7) = "M + N"),
        IF(AND(NOT(ISBLANK(BU7)), ISBLANK(BV7), NOT(ISBLANK(BW7))), "OK", "Check"),
        IF(
            TRIM($C7) = "D",
            IF(AND(ISBLANK(BU7), NOT(ISBLANK(BV7)), ISBLANK(BW7)), "OK", "Check"),
            IF(
                OR(TRIM($C7) = "D+N", TRIM($C7) = "D + N"),
                IF(AND(ISBLANK(BU7), NOT(ISBLANK(BV7)), NOT(ISBLANK(BW7))), "OK", "Check"),
                IF(
                    OR(TRIM($C7) = "M+D", TRIM($C7) = "M + D"),
                    IF(AND(NOT(ISBLANK(BU7)), NOT(ISBLANK(BV7)), ISBLANK(BW7)), "OK", "Check"),
                    IF(
                        TRIM($C7) = "M",
                        IF(AND(NOT(ISBLANK(BU7)), ISBLANK(BV7), ISBLANK(BW7)), "OK", "Check"),
                        "Check"
                    )
                )
            )
        )
    )
)</f>
        <v>Check</v>
      </c>
      <c r="BU7" s="1" t="str">
        <f t="shared" si="84"/>
        <v>Check</v>
      </c>
      <c r="BV7" s="1" t="str">
        <f t="shared" si="84"/>
        <v>Check</v>
      </c>
      <c r="BW7" s="1" t="str">
        <f t="shared" si="84"/>
        <v>Check</v>
      </c>
      <c r="BX7" s="1" t="str">
        <f t="shared" si="84"/>
        <v>Check</v>
      </c>
      <c r="BY7" s="1" t="str">
        <f t="shared" si="84"/>
        <v>Check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6"/>
      <c r="CK7" s="16"/>
      <c r="CL7" s="16"/>
      <c r="CM7" s="1" t="str">
        <f t="shared" si="85"/>
        <v>Check</v>
      </c>
      <c r="CN7" s="16"/>
      <c r="CO7" s="16"/>
      <c r="CP7" s="16"/>
    </row>
    <row r="8" ht="21.75" customHeight="1">
      <c r="A8" s="2" t="s">
        <v>14</v>
      </c>
      <c r="B8" s="2">
        <v>201.0</v>
      </c>
      <c r="C8" s="2" t="s">
        <v>15</v>
      </c>
      <c r="D8" s="17">
        <f>IFERROR(__xludf.DUMMYFUNCTION("""COMPUTED_VALUE"""),263.50910185045905)</f>
        <v>263.5091019</v>
      </c>
      <c r="E8" s="1"/>
      <c r="F8" s="2" t="s">
        <v>16</v>
      </c>
      <c r="G8" s="18" t="s">
        <v>17</v>
      </c>
      <c r="H8" s="2">
        <f>SUM(K8:CP8)</f>
        <v>60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0.5</v>
      </c>
      <c r="Y8" s="2">
        <v>1.0</v>
      </c>
      <c r="Z8" s="2">
        <v>1.0</v>
      </c>
      <c r="AA8" s="2">
        <v>0.5</v>
      </c>
      <c r="AB8" s="2">
        <v>2.0</v>
      </c>
      <c r="AC8" s="2">
        <v>1.0</v>
      </c>
      <c r="AD8" s="2">
        <v>0.5</v>
      </c>
      <c r="AE8" s="2">
        <v>1.0</v>
      </c>
      <c r="AF8" s="2">
        <v>1.0</v>
      </c>
      <c r="AG8" s="2">
        <v>0.5</v>
      </c>
      <c r="AH8" s="2">
        <v>1.0</v>
      </c>
      <c r="AI8" s="2">
        <v>1.0</v>
      </c>
      <c r="AJ8" s="2">
        <v>0.5</v>
      </c>
      <c r="AK8" s="2">
        <v>1.0</v>
      </c>
      <c r="AL8" s="2">
        <v>1.0</v>
      </c>
      <c r="AM8" s="2">
        <v>0.5</v>
      </c>
      <c r="AN8" s="2">
        <v>1.0</v>
      </c>
      <c r="AO8" s="2">
        <v>1.0</v>
      </c>
      <c r="AP8" s="2">
        <v>0.5</v>
      </c>
      <c r="AQ8" s="2">
        <v>1.0</v>
      </c>
      <c r="AR8" s="2">
        <v>1.0</v>
      </c>
      <c r="AS8" s="2">
        <v>0.5</v>
      </c>
      <c r="AT8" s="2">
        <v>1.0</v>
      </c>
      <c r="AU8" s="2">
        <v>1.0</v>
      </c>
      <c r="AV8" s="2">
        <v>0.5</v>
      </c>
      <c r="AW8" s="2">
        <v>1.0</v>
      </c>
      <c r="AX8" s="2">
        <v>1.0</v>
      </c>
      <c r="AY8" s="2">
        <v>0.5</v>
      </c>
      <c r="AZ8" s="2">
        <v>1.0</v>
      </c>
      <c r="BA8" s="2">
        <v>1.0</v>
      </c>
      <c r="BB8" s="16">
        <v>0.5</v>
      </c>
      <c r="BC8" s="16">
        <v>1.0</v>
      </c>
      <c r="BD8" s="16">
        <v>1.0</v>
      </c>
      <c r="BE8" s="16">
        <v>0.5</v>
      </c>
      <c r="BF8" s="16">
        <v>1.0</v>
      </c>
      <c r="BG8" s="16">
        <v>1.0</v>
      </c>
      <c r="BH8" s="16">
        <v>0.5</v>
      </c>
      <c r="BI8" s="16">
        <v>1.0</v>
      </c>
      <c r="BJ8" s="16">
        <v>1.0</v>
      </c>
      <c r="BK8" s="16"/>
      <c r="BL8" s="16">
        <v>1.0</v>
      </c>
      <c r="BM8" s="16">
        <v>1.0</v>
      </c>
      <c r="BN8" s="16">
        <v>0.5</v>
      </c>
      <c r="BO8" s="16">
        <v>1.0</v>
      </c>
      <c r="BP8" s="16">
        <v>1.0</v>
      </c>
      <c r="BQ8" s="16">
        <v>0.5</v>
      </c>
      <c r="BR8" s="16">
        <v>2.0</v>
      </c>
      <c r="BS8" s="16">
        <v>1.0</v>
      </c>
      <c r="BT8" s="16">
        <v>0.5</v>
      </c>
      <c r="BU8" s="16">
        <v>1.0</v>
      </c>
      <c r="BV8" s="16">
        <v>1.0</v>
      </c>
      <c r="BW8" s="16">
        <v>0.5</v>
      </c>
      <c r="BX8" s="16">
        <v>1.0</v>
      </c>
      <c r="BY8" s="16">
        <v>1.0</v>
      </c>
      <c r="BZ8" s="16">
        <v>0.5</v>
      </c>
      <c r="CA8" s="16">
        <v>1.0</v>
      </c>
      <c r="CB8" s="16">
        <v>1.0</v>
      </c>
      <c r="CC8" s="16">
        <v>0.5</v>
      </c>
      <c r="CD8" s="16">
        <v>1.0</v>
      </c>
      <c r="CE8" s="16">
        <v>1.0</v>
      </c>
      <c r="CF8" s="16">
        <v>0.5</v>
      </c>
      <c r="CG8" s="16">
        <v>1.0</v>
      </c>
      <c r="CH8" s="16">
        <v>1.0</v>
      </c>
      <c r="CI8" s="16"/>
      <c r="CJ8" s="16">
        <v>0.5</v>
      </c>
      <c r="CK8" s="16">
        <v>1.0</v>
      </c>
      <c r="CL8" s="16">
        <v>1.0</v>
      </c>
      <c r="CM8" s="1" t="str">
        <f t="shared" si="85"/>
        <v>OK</v>
      </c>
      <c r="CN8" s="16">
        <v>0.5</v>
      </c>
      <c r="CO8" s="16">
        <v>2.0</v>
      </c>
      <c r="CP8" s="16">
        <v>1.0</v>
      </c>
    </row>
    <row r="9" ht="21.75" customHeight="1">
      <c r="A9" s="2" t="s">
        <v>18</v>
      </c>
      <c r="B9" s="2">
        <v>202.0</v>
      </c>
      <c r="C9" s="2" t="s">
        <v>15</v>
      </c>
      <c r="D9" s="17">
        <f>IFERROR(__xludf.DUMMYFUNCTION("""COMPUTED_VALUE"""),-167.59756281029013)</f>
        <v>-167.5975628</v>
      </c>
      <c r="E9" s="1"/>
      <c r="F9" s="2" t="s">
        <v>19</v>
      </c>
      <c r="G9" s="18" t="s">
        <v>20</v>
      </c>
      <c r="H9" s="2">
        <f t="shared" ref="H9:H41" si="86">sum(K9:CP9)</f>
        <v>71</v>
      </c>
      <c r="I9" s="2"/>
      <c r="J9" s="2"/>
      <c r="K9" s="2">
        <v>1.0</v>
      </c>
      <c r="L9" s="2">
        <v>0.5</v>
      </c>
      <c r="M9" s="2">
        <v>1.0</v>
      </c>
      <c r="N9" s="2">
        <v>1.0</v>
      </c>
      <c r="O9" s="2">
        <v>0.5</v>
      </c>
      <c r="P9" s="2">
        <v>1.0</v>
      </c>
      <c r="Q9" s="2">
        <v>1.0</v>
      </c>
      <c r="R9" s="2">
        <v>0.5</v>
      </c>
      <c r="S9" s="2">
        <v>1.0</v>
      </c>
      <c r="T9" s="2">
        <v>1.0</v>
      </c>
      <c r="U9" s="2">
        <v>0.5</v>
      </c>
      <c r="V9" s="2">
        <v>1.0</v>
      </c>
      <c r="W9" s="2">
        <v>1.0</v>
      </c>
      <c r="X9" s="2">
        <v>0.5</v>
      </c>
      <c r="Y9" s="2">
        <v>1.0</v>
      </c>
      <c r="Z9" s="2">
        <v>1.0</v>
      </c>
      <c r="AA9" s="2">
        <v>0.5</v>
      </c>
      <c r="AB9" s="2">
        <v>2.0</v>
      </c>
      <c r="AC9" s="2">
        <v>1.0</v>
      </c>
      <c r="AD9" s="2">
        <v>0.5</v>
      </c>
      <c r="AE9" s="2">
        <v>1.0</v>
      </c>
      <c r="AF9" s="2">
        <v>1.0</v>
      </c>
      <c r="AG9" s="2">
        <v>0.5</v>
      </c>
      <c r="AH9" s="2">
        <v>1.0</v>
      </c>
      <c r="AI9" s="2">
        <v>1.0</v>
      </c>
      <c r="AJ9" s="2">
        <v>0.5</v>
      </c>
      <c r="AK9" s="2">
        <v>1.0</v>
      </c>
      <c r="AL9" s="2">
        <v>1.0</v>
      </c>
      <c r="AM9" s="2">
        <v>0.5</v>
      </c>
      <c r="AN9" s="2">
        <v>1.0</v>
      </c>
      <c r="AO9" s="2">
        <v>1.0</v>
      </c>
      <c r="AP9" s="2">
        <v>0.5</v>
      </c>
      <c r="AQ9" s="2">
        <v>1.0</v>
      </c>
      <c r="AR9" s="2">
        <v>1.0</v>
      </c>
      <c r="AS9" s="2">
        <v>0.5</v>
      </c>
      <c r="AT9" s="2">
        <v>1.0</v>
      </c>
      <c r="AU9" s="2">
        <v>1.0</v>
      </c>
      <c r="AV9" s="2">
        <v>0.5</v>
      </c>
      <c r="AW9" s="2">
        <v>1.0</v>
      </c>
      <c r="AX9" s="2">
        <v>1.0</v>
      </c>
      <c r="AY9" s="2">
        <v>0.5</v>
      </c>
      <c r="AZ9" s="2">
        <v>1.0</v>
      </c>
      <c r="BA9" s="2">
        <v>1.0</v>
      </c>
      <c r="BB9" s="1">
        <v>0.5</v>
      </c>
      <c r="BC9" s="1">
        <v>1.0</v>
      </c>
      <c r="BD9" s="1">
        <v>1.0</v>
      </c>
      <c r="BE9" s="1">
        <v>0.5</v>
      </c>
      <c r="BF9" s="1">
        <v>1.0</v>
      </c>
      <c r="BG9" s="1">
        <v>1.0</v>
      </c>
      <c r="BH9" s="1">
        <v>0.5</v>
      </c>
      <c r="BI9" s="1">
        <v>1.0</v>
      </c>
      <c r="BJ9" s="1">
        <v>1.0</v>
      </c>
      <c r="BK9" s="1"/>
      <c r="BL9" s="1">
        <v>1.0</v>
      </c>
      <c r="BM9" s="1">
        <v>1.0</v>
      </c>
      <c r="BN9" s="1">
        <v>0.5</v>
      </c>
      <c r="BO9" s="1">
        <v>1.0</v>
      </c>
      <c r="BP9" s="1">
        <v>1.0</v>
      </c>
      <c r="BQ9" s="1">
        <v>0.5</v>
      </c>
      <c r="BR9" s="2">
        <v>2.0</v>
      </c>
      <c r="BS9" s="1">
        <v>1.0</v>
      </c>
      <c r="BT9" s="1">
        <v>0.5</v>
      </c>
      <c r="BU9" s="1">
        <v>1.0</v>
      </c>
      <c r="BV9" s="1">
        <v>1.0</v>
      </c>
      <c r="BW9" s="1">
        <v>0.5</v>
      </c>
      <c r="BX9" s="1">
        <v>1.0</v>
      </c>
      <c r="BY9" s="1">
        <v>1.0</v>
      </c>
      <c r="BZ9" s="1">
        <v>0.5</v>
      </c>
      <c r="CA9" s="1">
        <v>1.0</v>
      </c>
      <c r="CB9" s="1">
        <v>1.0</v>
      </c>
      <c r="CC9" s="1">
        <v>0.5</v>
      </c>
      <c r="CD9" s="1">
        <v>1.0</v>
      </c>
      <c r="CE9" s="1">
        <v>1.0</v>
      </c>
      <c r="CF9" s="1">
        <v>0.5</v>
      </c>
      <c r="CG9" s="1">
        <v>1.0</v>
      </c>
      <c r="CH9" s="1">
        <v>1.0</v>
      </c>
      <c r="CI9" s="1"/>
      <c r="CJ9" s="1">
        <v>0.5</v>
      </c>
      <c r="CK9" s="1">
        <v>1.0</v>
      </c>
      <c r="CL9" s="2">
        <v>1.0</v>
      </c>
      <c r="CM9" s="1" t="str">
        <f t="shared" si="85"/>
        <v>OK</v>
      </c>
      <c r="CN9" s="1">
        <v>0.5</v>
      </c>
      <c r="CO9" s="2">
        <v>2.0</v>
      </c>
      <c r="CP9" s="1">
        <v>1.0</v>
      </c>
    </row>
    <row r="10" ht="21.75" customHeight="1">
      <c r="A10" s="2" t="s">
        <v>21</v>
      </c>
      <c r="B10" s="2">
        <v>202.0</v>
      </c>
      <c r="C10" s="2" t="s">
        <v>15</v>
      </c>
      <c r="D10" s="17">
        <f>IFERROR(__xludf.DUMMYFUNCTION("""COMPUTED_VALUE"""),101.33879945840272)</f>
        <v>101.3387995</v>
      </c>
      <c r="E10" s="1"/>
      <c r="F10" s="2" t="s">
        <v>19</v>
      </c>
      <c r="G10" s="18" t="s">
        <v>22</v>
      </c>
      <c r="H10" s="2">
        <f t="shared" si="86"/>
        <v>63.5</v>
      </c>
      <c r="I10" s="2"/>
      <c r="J10" s="2"/>
      <c r="K10" s="2">
        <v>1.0</v>
      </c>
      <c r="L10" s="2">
        <v>0.5</v>
      </c>
      <c r="M10" s="2">
        <v>1.0</v>
      </c>
      <c r="N10" s="2"/>
      <c r="O10" s="2">
        <v>0.5</v>
      </c>
      <c r="P10" s="2">
        <v>1.0</v>
      </c>
      <c r="Q10" s="2">
        <v>1.0</v>
      </c>
      <c r="R10" s="2">
        <v>0.5</v>
      </c>
      <c r="S10" s="2">
        <v>1.0</v>
      </c>
      <c r="T10" s="2">
        <v>1.0</v>
      </c>
      <c r="U10" s="2">
        <v>0.5</v>
      </c>
      <c r="V10" s="2">
        <v>1.0</v>
      </c>
      <c r="W10" s="2">
        <v>1.0</v>
      </c>
      <c r="X10" s="2">
        <v>0.5</v>
      </c>
      <c r="Y10" s="2">
        <v>1.0</v>
      </c>
      <c r="Z10" s="2">
        <v>1.0</v>
      </c>
      <c r="AA10" s="2">
        <v>0.5</v>
      </c>
      <c r="AB10" s="2">
        <v>2.0</v>
      </c>
      <c r="AC10" s="2">
        <v>1.0</v>
      </c>
      <c r="AD10" s="2">
        <v>0.5</v>
      </c>
      <c r="AE10" s="2">
        <v>1.0</v>
      </c>
      <c r="AF10" s="2">
        <v>1.0</v>
      </c>
      <c r="AG10" s="2">
        <v>0.5</v>
      </c>
      <c r="AH10" s="2">
        <v>1.0</v>
      </c>
      <c r="AI10" s="2">
        <v>1.0</v>
      </c>
      <c r="AJ10" s="2"/>
      <c r="AK10" s="2"/>
      <c r="AL10" s="2">
        <v>1.0</v>
      </c>
      <c r="AM10" s="2">
        <v>0.5</v>
      </c>
      <c r="AN10" s="2">
        <v>1.0</v>
      </c>
      <c r="AO10" s="2">
        <v>1.0</v>
      </c>
      <c r="AP10" s="2">
        <v>0.5</v>
      </c>
      <c r="AQ10" s="2">
        <v>1.0</v>
      </c>
      <c r="AR10" s="2">
        <v>1.0</v>
      </c>
      <c r="AS10" s="2">
        <v>0.5</v>
      </c>
      <c r="AT10" s="2">
        <v>1.0</v>
      </c>
      <c r="AU10" s="2">
        <v>1.0</v>
      </c>
      <c r="AV10" s="2"/>
      <c r="AW10" s="2">
        <v>1.0</v>
      </c>
      <c r="AX10" s="2">
        <v>1.0</v>
      </c>
      <c r="AY10" s="2"/>
      <c r="AZ10" s="2">
        <v>1.0</v>
      </c>
      <c r="BA10" s="2">
        <v>1.0</v>
      </c>
      <c r="BB10" s="1">
        <v>0.5</v>
      </c>
      <c r="BC10" s="1">
        <v>1.0</v>
      </c>
      <c r="BD10" s="1">
        <v>1.0</v>
      </c>
      <c r="BE10" s="1">
        <v>0.5</v>
      </c>
      <c r="BF10" s="1">
        <v>1.0</v>
      </c>
      <c r="BG10" s="1">
        <v>1.0</v>
      </c>
      <c r="BH10" s="1">
        <v>0.5</v>
      </c>
      <c r="BI10" s="1">
        <v>1.0</v>
      </c>
      <c r="BJ10" s="1">
        <v>1.0</v>
      </c>
      <c r="BK10" s="1"/>
      <c r="BL10" s="1">
        <v>1.0</v>
      </c>
      <c r="BM10" s="1">
        <v>1.0</v>
      </c>
      <c r="BN10" s="1">
        <v>0.5</v>
      </c>
      <c r="BO10" s="1">
        <v>1.0</v>
      </c>
      <c r="BP10" s="1">
        <v>1.0</v>
      </c>
      <c r="BQ10" s="1">
        <v>0.5</v>
      </c>
      <c r="BR10" s="2">
        <v>2.0</v>
      </c>
      <c r="BS10" s="1">
        <v>1.0</v>
      </c>
      <c r="BT10" s="1"/>
      <c r="BU10" s="1"/>
      <c r="BV10" s="2">
        <v>1.0</v>
      </c>
      <c r="BW10" s="2"/>
      <c r="BX10" s="2">
        <v>1.0</v>
      </c>
      <c r="BY10" s="2">
        <v>1.0</v>
      </c>
      <c r="BZ10" s="2">
        <v>0.5</v>
      </c>
      <c r="CA10" s="2">
        <v>1.0</v>
      </c>
      <c r="CB10" s="2">
        <v>1.0</v>
      </c>
      <c r="CC10" s="2">
        <v>0.5</v>
      </c>
      <c r="CD10" s="2">
        <v>1.0</v>
      </c>
      <c r="CE10" s="2">
        <v>1.0</v>
      </c>
      <c r="CF10" s="2">
        <v>0.5</v>
      </c>
      <c r="CG10" s="2">
        <v>1.0</v>
      </c>
      <c r="CH10" s="2">
        <v>1.0</v>
      </c>
      <c r="CI10" s="2"/>
      <c r="CJ10" s="2"/>
      <c r="CK10" s="2">
        <v>1.0</v>
      </c>
      <c r="CL10" s="2">
        <v>1.0</v>
      </c>
      <c r="CM10" s="1" t="str">
        <f t="shared" si="85"/>
        <v>Check</v>
      </c>
      <c r="CN10" s="2"/>
      <c r="CO10" s="2">
        <v>2.0</v>
      </c>
      <c r="CP10" s="2"/>
    </row>
    <row r="11" ht="21.75" customHeight="1">
      <c r="A11" s="2" t="s">
        <v>23</v>
      </c>
      <c r="B11" s="2">
        <v>203.0</v>
      </c>
      <c r="C11" s="2" t="s">
        <v>15</v>
      </c>
      <c r="D11" s="17">
        <f>IFERROR(__xludf.DUMMYFUNCTION("""COMPUTED_VALUE"""),-187.1933202948694)</f>
        <v>-187.1933203</v>
      </c>
      <c r="E11" s="1"/>
      <c r="F11" s="2" t="s">
        <v>24</v>
      </c>
      <c r="G11" s="4" t="s">
        <v>25</v>
      </c>
      <c r="H11" s="2">
        <f t="shared" si="86"/>
        <v>71.5</v>
      </c>
      <c r="I11" s="2"/>
      <c r="J11" s="2"/>
      <c r="K11" s="2">
        <v>1.0</v>
      </c>
      <c r="L11" s="2">
        <v>0.5</v>
      </c>
      <c r="M11" s="2">
        <v>1.0</v>
      </c>
      <c r="N11" s="2"/>
      <c r="O11" s="2">
        <v>0.5</v>
      </c>
      <c r="P11" s="2">
        <v>1.0</v>
      </c>
      <c r="Q11" s="2"/>
      <c r="R11" s="2">
        <v>0.5</v>
      </c>
      <c r="S11" s="2">
        <v>1.0</v>
      </c>
      <c r="T11" s="2">
        <v>1.0</v>
      </c>
      <c r="U11" s="2">
        <v>0.5</v>
      </c>
      <c r="V11" s="2">
        <v>1.0</v>
      </c>
      <c r="W11" s="2">
        <v>1.0</v>
      </c>
      <c r="X11" s="2">
        <v>0.5</v>
      </c>
      <c r="Y11" s="2">
        <v>1.0</v>
      </c>
      <c r="Z11" s="2">
        <v>1.0</v>
      </c>
      <c r="AA11" s="2">
        <v>0.5</v>
      </c>
      <c r="AB11" s="2">
        <v>2.0</v>
      </c>
      <c r="AC11" s="2">
        <v>1.0</v>
      </c>
      <c r="AD11" s="2">
        <v>0.5</v>
      </c>
      <c r="AE11" s="2">
        <v>1.0</v>
      </c>
      <c r="AF11" s="2">
        <v>1.0</v>
      </c>
      <c r="AG11" s="2">
        <v>0.5</v>
      </c>
      <c r="AH11" s="2">
        <v>1.0</v>
      </c>
      <c r="AI11" s="2">
        <v>1.0</v>
      </c>
      <c r="AJ11" s="2">
        <v>0.5</v>
      </c>
      <c r="AK11" s="2">
        <v>1.0</v>
      </c>
      <c r="AL11" s="2">
        <v>1.0</v>
      </c>
      <c r="AM11" s="2">
        <v>0.5</v>
      </c>
      <c r="AN11" s="2">
        <v>1.0</v>
      </c>
      <c r="AO11" s="2">
        <v>2.0</v>
      </c>
      <c r="AP11" s="2">
        <v>0.5</v>
      </c>
      <c r="AQ11" s="2">
        <v>2.0</v>
      </c>
      <c r="AR11" s="2">
        <v>1.0</v>
      </c>
      <c r="AS11" s="2">
        <v>0.5</v>
      </c>
      <c r="AT11" s="2">
        <v>1.0</v>
      </c>
      <c r="AU11" s="2">
        <v>1.0</v>
      </c>
      <c r="AV11" s="2">
        <v>0.5</v>
      </c>
      <c r="AW11" s="2">
        <v>1.0</v>
      </c>
      <c r="AX11" s="2">
        <v>1.0</v>
      </c>
      <c r="AY11" s="2">
        <v>0.5</v>
      </c>
      <c r="AZ11" s="2">
        <v>1.0</v>
      </c>
      <c r="BA11" s="2">
        <v>1.0</v>
      </c>
      <c r="BB11" s="1">
        <v>0.5</v>
      </c>
      <c r="BC11" s="1">
        <v>1.0</v>
      </c>
      <c r="BD11" s="1">
        <v>1.0</v>
      </c>
      <c r="BE11" s="1">
        <v>0.5</v>
      </c>
      <c r="BF11" s="1">
        <v>1.0</v>
      </c>
      <c r="BG11" s="1">
        <v>1.0</v>
      </c>
      <c r="BH11" s="1">
        <v>0.5</v>
      </c>
      <c r="BI11" s="1">
        <v>1.0</v>
      </c>
      <c r="BJ11" s="1">
        <v>1.0</v>
      </c>
      <c r="BK11" s="1"/>
      <c r="BL11" s="1">
        <v>1.0</v>
      </c>
      <c r="BM11" s="1">
        <v>1.0</v>
      </c>
      <c r="BN11" s="1">
        <v>0.5</v>
      </c>
      <c r="BO11" s="1">
        <v>1.0</v>
      </c>
      <c r="BP11" s="1">
        <v>1.0</v>
      </c>
      <c r="BQ11" s="1">
        <v>0.5</v>
      </c>
      <c r="BR11" s="2">
        <v>2.0</v>
      </c>
      <c r="BS11" s="1">
        <v>1.0</v>
      </c>
      <c r="BT11" s="1">
        <v>0.5</v>
      </c>
      <c r="BU11" s="1">
        <v>1.0</v>
      </c>
      <c r="BV11" s="1">
        <v>1.0</v>
      </c>
      <c r="BW11" s="1">
        <v>0.5</v>
      </c>
      <c r="BX11" s="1">
        <v>1.0</v>
      </c>
      <c r="BY11" s="1">
        <v>1.0</v>
      </c>
      <c r="BZ11" s="1">
        <v>0.5</v>
      </c>
      <c r="CA11" s="1">
        <v>1.0</v>
      </c>
      <c r="CB11" s="1">
        <v>1.0</v>
      </c>
      <c r="CC11" s="1">
        <v>0.5</v>
      </c>
      <c r="CD11" s="1">
        <v>1.0</v>
      </c>
      <c r="CE11" s="1">
        <v>1.0</v>
      </c>
      <c r="CF11" s="1">
        <v>0.5</v>
      </c>
      <c r="CG11" s="1">
        <v>1.0</v>
      </c>
      <c r="CH11" s="1">
        <v>1.0</v>
      </c>
      <c r="CI11" s="1"/>
      <c r="CJ11" s="1">
        <v>0.5</v>
      </c>
      <c r="CK11" s="1">
        <v>1.0</v>
      </c>
      <c r="CL11" s="2">
        <v>1.0</v>
      </c>
      <c r="CM11" s="1" t="str">
        <f t="shared" si="85"/>
        <v>OK</v>
      </c>
      <c r="CN11" s="2">
        <v>1.0</v>
      </c>
      <c r="CO11" s="2">
        <v>2.0</v>
      </c>
      <c r="CP11" s="1">
        <v>1.0</v>
      </c>
    </row>
    <row r="12" ht="21.75" customHeight="1">
      <c r="A12" s="2" t="s">
        <v>26</v>
      </c>
      <c r="B12" s="2">
        <v>203.0</v>
      </c>
      <c r="C12" s="2" t="s">
        <v>15</v>
      </c>
      <c r="D12" s="17">
        <f>IFERROR(__xludf.DUMMYFUNCTION("""COMPUTED_VALUE"""),-5.172107717767176)</f>
        <v>-5.172107718</v>
      </c>
      <c r="E12" s="1"/>
      <c r="F12" s="2" t="s">
        <v>27</v>
      </c>
      <c r="G12" s="18" t="s">
        <v>28</v>
      </c>
      <c r="H12" s="2">
        <f t="shared" si="86"/>
        <v>74</v>
      </c>
      <c r="I12" s="2"/>
      <c r="J12" s="2"/>
      <c r="K12" s="2">
        <v>1.0</v>
      </c>
      <c r="L12" s="2">
        <v>0.5</v>
      </c>
      <c r="M12" s="2">
        <v>1.0</v>
      </c>
      <c r="N12" s="2">
        <v>1.0</v>
      </c>
      <c r="O12" s="2">
        <v>0.5</v>
      </c>
      <c r="P12" s="2">
        <v>1.0</v>
      </c>
      <c r="Q12" s="2"/>
      <c r="R12" s="2">
        <v>0.5</v>
      </c>
      <c r="S12" s="2">
        <v>1.0</v>
      </c>
      <c r="T12" s="2">
        <v>1.0</v>
      </c>
      <c r="U12" s="2">
        <v>0.5</v>
      </c>
      <c r="V12" s="2">
        <v>1.0</v>
      </c>
      <c r="W12" s="2">
        <v>1.0</v>
      </c>
      <c r="X12" s="2">
        <v>0.5</v>
      </c>
      <c r="Y12" s="2">
        <v>1.0</v>
      </c>
      <c r="Z12" s="2">
        <v>1.0</v>
      </c>
      <c r="AA12" s="2">
        <v>0.5</v>
      </c>
      <c r="AB12" s="2">
        <v>2.0</v>
      </c>
      <c r="AC12" s="2">
        <v>1.0</v>
      </c>
      <c r="AD12" s="2">
        <v>0.5</v>
      </c>
      <c r="AE12" s="2">
        <v>1.0</v>
      </c>
      <c r="AF12" s="2">
        <v>1.0</v>
      </c>
      <c r="AG12" s="2">
        <v>0.5</v>
      </c>
      <c r="AH12" s="2">
        <v>1.0</v>
      </c>
      <c r="AI12" s="2">
        <v>1.0</v>
      </c>
      <c r="AJ12" s="2"/>
      <c r="AK12" s="2"/>
      <c r="AL12" s="2">
        <v>1.0</v>
      </c>
      <c r="AM12" s="2">
        <v>0.5</v>
      </c>
      <c r="AN12" s="2">
        <v>1.0</v>
      </c>
      <c r="AO12" s="2">
        <v>1.0</v>
      </c>
      <c r="AP12" s="2"/>
      <c r="AQ12" s="2">
        <v>1.0</v>
      </c>
      <c r="AR12" s="2">
        <v>1.0</v>
      </c>
      <c r="AS12" s="2">
        <v>0.5</v>
      </c>
      <c r="AT12" s="2">
        <v>1.0</v>
      </c>
      <c r="AU12" s="2">
        <v>1.0</v>
      </c>
      <c r="AV12" s="2"/>
      <c r="AW12" s="2">
        <v>1.0</v>
      </c>
      <c r="AX12" s="2">
        <v>1.0</v>
      </c>
      <c r="AY12" s="2"/>
      <c r="AZ12" s="2">
        <v>1.0</v>
      </c>
      <c r="BA12" s="2">
        <v>1.0</v>
      </c>
      <c r="BB12" s="19"/>
      <c r="BC12" s="1">
        <v>1.0</v>
      </c>
      <c r="BD12" s="1">
        <v>1.0</v>
      </c>
      <c r="BE12" s="19"/>
      <c r="BF12" s="1">
        <v>1.0</v>
      </c>
      <c r="BG12" s="1">
        <v>1.0</v>
      </c>
      <c r="BH12" s="19"/>
      <c r="BI12" s="1">
        <v>1.0</v>
      </c>
      <c r="BJ12" s="1">
        <v>1.0</v>
      </c>
      <c r="BK12" s="16"/>
      <c r="BL12" s="2">
        <v>1.0</v>
      </c>
      <c r="BM12" s="1">
        <v>1.0</v>
      </c>
      <c r="BN12" s="16"/>
      <c r="BO12" s="2">
        <v>1.0</v>
      </c>
      <c r="BP12" s="1">
        <v>1.0</v>
      </c>
      <c r="BQ12" s="16"/>
      <c r="BR12" s="2">
        <v>2.0</v>
      </c>
      <c r="BS12" s="1"/>
      <c r="BT12" s="16"/>
      <c r="BU12" s="2">
        <v>1.0</v>
      </c>
      <c r="BV12" s="1">
        <v>1.0</v>
      </c>
      <c r="BW12" s="16"/>
      <c r="BX12" s="2">
        <v>2.0</v>
      </c>
      <c r="BY12" s="1">
        <v>1.0</v>
      </c>
      <c r="BZ12" s="16"/>
      <c r="CA12" s="2">
        <v>2.0</v>
      </c>
      <c r="CB12" s="2">
        <v>2.0</v>
      </c>
      <c r="CC12" s="16">
        <v>1.0</v>
      </c>
      <c r="CD12" s="2">
        <v>2.0</v>
      </c>
      <c r="CE12" s="2">
        <v>2.0</v>
      </c>
      <c r="CF12" s="16">
        <v>1.0</v>
      </c>
      <c r="CG12" s="2">
        <v>2.0</v>
      </c>
      <c r="CH12" s="2">
        <v>2.0</v>
      </c>
      <c r="CI12" s="2"/>
      <c r="CJ12" s="16">
        <v>1.0</v>
      </c>
      <c r="CK12" s="2">
        <v>1.0</v>
      </c>
      <c r="CL12" s="2">
        <v>1.0</v>
      </c>
      <c r="CM12" s="1" t="str">
        <f t="shared" si="85"/>
        <v>OK</v>
      </c>
      <c r="CN12" s="16">
        <v>1.0</v>
      </c>
      <c r="CO12" s="2">
        <v>5.0</v>
      </c>
      <c r="CP12" s="2">
        <v>1.0</v>
      </c>
    </row>
    <row r="13" ht="21.75" customHeight="1">
      <c r="A13" s="2" t="s">
        <v>29</v>
      </c>
      <c r="B13" s="2">
        <v>206.0</v>
      </c>
      <c r="C13" s="2" t="s">
        <v>15</v>
      </c>
      <c r="D13" s="17">
        <f>IFERROR(__xludf.DUMMYFUNCTION("""COMPUTED_VALUE"""),-134.46968557243872)</f>
        <v>-134.4696856</v>
      </c>
      <c r="E13" s="2"/>
      <c r="F13" s="2" t="s">
        <v>30</v>
      </c>
      <c r="G13" s="18" t="s">
        <v>31</v>
      </c>
      <c r="H13" s="2">
        <f t="shared" si="86"/>
        <v>62.5</v>
      </c>
      <c r="I13" s="2"/>
      <c r="J13" s="2"/>
      <c r="K13" s="2">
        <v>1.0</v>
      </c>
      <c r="L13" s="2"/>
      <c r="M13" s="2">
        <v>1.0</v>
      </c>
      <c r="N13" s="2">
        <v>1.0</v>
      </c>
      <c r="O13" s="2"/>
      <c r="P13" s="2">
        <v>1.0</v>
      </c>
      <c r="Q13" s="2"/>
      <c r="R13" s="2"/>
      <c r="S13" s="2">
        <v>1.0</v>
      </c>
      <c r="T13" s="2">
        <v>1.0</v>
      </c>
      <c r="U13" s="2">
        <v>0.5</v>
      </c>
      <c r="V13" s="2">
        <v>1.0</v>
      </c>
      <c r="W13" s="2">
        <v>1.0</v>
      </c>
      <c r="X13" s="2">
        <v>0.5</v>
      </c>
      <c r="Y13" s="2">
        <v>1.0</v>
      </c>
      <c r="Z13" s="2">
        <v>1.0</v>
      </c>
      <c r="AA13" s="2"/>
      <c r="AB13" s="2">
        <v>2.0</v>
      </c>
      <c r="AC13" s="2">
        <v>1.0</v>
      </c>
      <c r="AD13" s="2"/>
      <c r="AE13" s="2">
        <v>1.0</v>
      </c>
      <c r="AF13" s="2">
        <v>1.0</v>
      </c>
      <c r="AG13" s="2"/>
      <c r="AH13" s="2">
        <v>1.0</v>
      </c>
      <c r="AI13" s="2">
        <v>1.0</v>
      </c>
      <c r="AJ13" s="2"/>
      <c r="AK13" s="2">
        <v>1.0</v>
      </c>
      <c r="AL13" s="2">
        <v>1.0</v>
      </c>
      <c r="AM13" s="2">
        <v>0.5</v>
      </c>
      <c r="AN13" s="2">
        <v>1.0</v>
      </c>
      <c r="AO13" s="2">
        <v>1.0</v>
      </c>
      <c r="AP13" s="2"/>
      <c r="AQ13" s="2">
        <v>1.0</v>
      </c>
      <c r="AR13" s="2">
        <v>1.0</v>
      </c>
      <c r="AS13" s="2">
        <v>0.5</v>
      </c>
      <c r="AT13" s="2">
        <v>1.0</v>
      </c>
      <c r="AU13" s="2">
        <v>1.0</v>
      </c>
      <c r="AV13" s="2"/>
      <c r="AW13" s="2">
        <v>1.0</v>
      </c>
      <c r="AX13" s="2">
        <v>1.0</v>
      </c>
      <c r="AY13" s="2"/>
      <c r="AZ13" s="2">
        <v>1.0</v>
      </c>
      <c r="BA13" s="2"/>
      <c r="BB13" s="1">
        <v>0.5</v>
      </c>
      <c r="BC13" s="1">
        <v>1.0</v>
      </c>
      <c r="BD13" s="1">
        <v>1.0</v>
      </c>
      <c r="BE13" s="2">
        <v>0.5</v>
      </c>
      <c r="BF13" s="1">
        <v>1.0</v>
      </c>
      <c r="BG13" s="1">
        <v>1.0</v>
      </c>
      <c r="BH13" s="2">
        <v>0.5</v>
      </c>
      <c r="BI13" s="1">
        <v>1.0</v>
      </c>
      <c r="BJ13" s="1">
        <v>1.0</v>
      </c>
      <c r="BK13" s="2"/>
      <c r="BL13" s="1">
        <v>1.0</v>
      </c>
      <c r="BM13" s="1">
        <v>1.0</v>
      </c>
      <c r="BN13" s="2">
        <v>0.5</v>
      </c>
      <c r="BO13" s="1">
        <v>1.0</v>
      </c>
      <c r="BP13" s="1">
        <v>1.0</v>
      </c>
      <c r="BQ13" s="2"/>
      <c r="BR13" s="2">
        <v>2.0</v>
      </c>
      <c r="BS13" s="1">
        <v>1.0</v>
      </c>
      <c r="BT13" s="2">
        <v>0.5</v>
      </c>
      <c r="BU13" s="2">
        <v>0.5</v>
      </c>
      <c r="BV13" s="1">
        <v>1.0</v>
      </c>
      <c r="BW13" s="2">
        <v>0.5</v>
      </c>
      <c r="BX13" s="2">
        <v>1.0</v>
      </c>
      <c r="BY13" s="2">
        <v>1.0</v>
      </c>
      <c r="BZ13" s="2">
        <v>0.5</v>
      </c>
      <c r="CA13" s="2">
        <v>1.0</v>
      </c>
      <c r="CB13" s="2">
        <v>1.0</v>
      </c>
      <c r="CC13" s="2">
        <v>0.5</v>
      </c>
      <c r="CD13" s="2">
        <v>1.0</v>
      </c>
      <c r="CE13" s="2">
        <v>1.0</v>
      </c>
      <c r="CF13" s="2">
        <v>0.5</v>
      </c>
      <c r="CG13" s="2">
        <v>1.0</v>
      </c>
      <c r="CH13" s="2">
        <v>1.0</v>
      </c>
      <c r="CI13" s="2"/>
      <c r="CJ13" s="2">
        <v>0.5</v>
      </c>
      <c r="CK13" s="2">
        <v>1.0</v>
      </c>
      <c r="CL13" s="2">
        <v>1.0</v>
      </c>
      <c r="CM13" s="1" t="str">
        <f t="shared" si="85"/>
        <v>Check</v>
      </c>
      <c r="CN13" s="2">
        <v>1.0</v>
      </c>
      <c r="CO13" s="2">
        <v>2.0</v>
      </c>
      <c r="CP13" s="2"/>
    </row>
    <row r="14" ht="21.75" customHeight="1">
      <c r="A14" s="2" t="s">
        <v>32</v>
      </c>
      <c r="B14" s="2">
        <v>206.0</v>
      </c>
      <c r="C14" s="2" t="s">
        <v>15</v>
      </c>
      <c r="D14" s="17">
        <f>IFERROR(__xludf.DUMMYFUNCTION("""COMPUTED_VALUE"""),371.5939521588689)</f>
        <v>371.5939522</v>
      </c>
      <c r="E14" s="1"/>
      <c r="F14" s="2" t="s">
        <v>33</v>
      </c>
      <c r="G14" s="18" t="s">
        <v>34</v>
      </c>
      <c r="H14" s="2">
        <f t="shared" si="86"/>
        <v>70</v>
      </c>
      <c r="I14" s="2"/>
      <c r="J14" s="2"/>
      <c r="K14" s="2">
        <v>1.0</v>
      </c>
      <c r="L14" s="2">
        <v>0.5</v>
      </c>
      <c r="M14" s="2">
        <v>1.0</v>
      </c>
      <c r="N14" s="2">
        <v>1.0</v>
      </c>
      <c r="O14" s="2"/>
      <c r="P14" s="2">
        <v>2.0</v>
      </c>
      <c r="Q14" s="2"/>
      <c r="R14" s="2">
        <v>1.0</v>
      </c>
      <c r="S14" s="2">
        <v>2.0</v>
      </c>
      <c r="T14" s="2">
        <v>2.0</v>
      </c>
      <c r="U14" s="2">
        <v>1.0</v>
      </c>
      <c r="V14" s="2">
        <v>2.0</v>
      </c>
      <c r="W14" s="2">
        <v>2.0</v>
      </c>
      <c r="X14" s="2">
        <v>0.5</v>
      </c>
      <c r="Y14" s="2">
        <v>2.0</v>
      </c>
      <c r="Z14" s="2">
        <v>2.0</v>
      </c>
      <c r="AA14" s="2"/>
      <c r="AB14" s="2">
        <v>2.0</v>
      </c>
      <c r="AC14" s="2">
        <v>1.0</v>
      </c>
      <c r="AD14" s="2">
        <v>0.5</v>
      </c>
      <c r="AE14" s="2">
        <v>2.0</v>
      </c>
      <c r="AF14" s="2">
        <v>2.0</v>
      </c>
      <c r="AG14" s="2">
        <v>0.5</v>
      </c>
      <c r="AH14" s="2">
        <v>1.0</v>
      </c>
      <c r="AI14" s="2">
        <v>1.0</v>
      </c>
      <c r="AJ14" s="2"/>
      <c r="AK14" s="2">
        <v>1.0</v>
      </c>
      <c r="AL14" s="2">
        <v>1.0</v>
      </c>
      <c r="AM14" s="2">
        <v>0.5</v>
      </c>
      <c r="AN14" s="2">
        <v>1.0</v>
      </c>
      <c r="AO14" s="2">
        <v>1.0</v>
      </c>
      <c r="AP14" s="2"/>
      <c r="AQ14" s="2">
        <v>1.0</v>
      </c>
      <c r="AR14" s="2">
        <v>1.0</v>
      </c>
      <c r="AS14" s="2">
        <v>0.5</v>
      </c>
      <c r="AT14" s="2">
        <v>1.0</v>
      </c>
      <c r="AU14" s="2">
        <v>1.0</v>
      </c>
      <c r="AV14" s="2">
        <v>0.5</v>
      </c>
      <c r="AW14" s="2">
        <v>1.0</v>
      </c>
      <c r="AX14" s="2"/>
      <c r="AY14" s="2"/>
      <c r="AZ14" s="2"/>
      <c r="BA14" s="2">
        <v>1.0</v>
      </c>
      <c r="BB14" s="1">
        <v>0.5</v>
      </c>
      <c r="BC14" s="1">
        <v>1.0</v>
      </c>
      <c r="BD14" s="1">
        <v>1.0</v>
      </c>
      <c r="BE14" s="1"/>
      <c r="BF14" s="1">
        <v>1.0</v>
      </c>
      <c r="BG14" s="1">
        <v>1.0</v>
      </c>
      <c r="BH14" s="1"/>
      <c r="BI14" s="1">
        <v>1.0</v>
      </c>
      <c r="BJ14" s="1">
        <v>1.0</v>
      </c>
      <c r="BK14" s="2"/>
      <c r="BL14" s="1">
        <v>1.0</v>
      </c>
      <c r="BM14" s="1">
        <v>1.0</v>
      </c>
      <c r="BN14" s="2"/>
      <c r="BO14" s="1">
        <v>1.0</v>
      </c>
      <c r="BP14" s="1"/>
      <c r="BQ14" s="2">
        <v>0.5</v>
      </c>
      <c r="BR14" s="2">
        <v>2.0</v>
      </c>
      <c r="BS14" s="1"/>
      <c r="BT14" s="2"/>
      <c r="BU14" s="1">
        <v>1.0</v>
      </c>
      <c r="BV14" s="2">
        <v>1.0</v>
      </c>
      <c r="BW14" s="2">
        <v>0.5</v>
      </c>
      <c r="BX14" s="1">
        <v>1.0</v>
      </c>
      <c r="BY14" s="2"/>
      <c r="BZ14" s="2">
        <v>0.5</v>
      </c>
      <c r="CA14" s="1">
        <v>1.0</v>
      </c>
      <c r="CB14" s="2">
        <v>1.0</v>
      </c>
      <c r="CC14" s="2">
        <v>0.5</v>
      </c>
      <c r="CD14" s="1">
        <v>1.0</v>
      </c>
      <c r="CE14" s="2">
        <v>1.0</v>
      </c>
      <c r="CF14" s="2">
        <v>0.5</v>
      </c>
      <c r="CG14" s="1">
        <v>1.0</v>
      </c>
      <c r="CH14" s="2">
        <v>1.0</v>
      </c>
      <c r="CI14" s="2"/>
      <c r="CJ14" s="2">
        <v>0.5</v>
      </c>
      <c r="CK14" s="1">
        <v>1.0</v>
      </c>
      <c r="CL14" s="2">
        <v>1.0</v>
      </c>
      <c r="CM14" s="1" t="str">
        <f t="shared" si="85"/>
        <v>Check</v>
      </c>
      <c r="CN14" s="2">
        <v>1.0</v>
      </c>
      <c r="CO14" s="2">
        <v>2.0</v>
      </c>
      <c r="CP14" s="2"/>
    </row>
    <row r="15" ht="21.75" customHeight="1">
      <c r="A15" s="2" t="s">
        <v>35</v>
      </c>
      <c r="B15" s="2">
        <v>206.0</v>
      </c>
      <c r="C15" s="2" t="s">
        <v>36</v>
      </c>
      <c r="D15" s="17">
        <f>IFERROR(__xludf.DUMMYFUNCTION("""COMPUTED_VALUE"""),262.89273356401395)</f>
        <v>262.8927336</v>
      </c>
      <c r="E15" s="2" t="s">
        <v>37</v>
      </c>
      <c r="F15" s="2">
        <v>2000.0</v>
      </c>
      <c r="G15" s="4" t="s">
        <v>25</v>
      </c>
      <c r="H15" s="2">
        <f t="shared" si="86"/>
        <v>34.5</v>
      </c>
      <c r="I15" s="2"/>
      <c r="J15" s="2"/>
      <c r="K15" s="2"/>
      <c r="L15" s="2">
        <v>0.5</v>
      </c>
      <c r="M15" s="2">
        <v>1.0</v>
      </c>
      <c r="N15" s="2">
        <v>1.0</v>
      </c>
      <c r="O15" s="2"/>
      <c r="P15" s="2">
        <v>1.0</v>
      </c>
      <c r="Q15" s="2"/>
      <c r="R15" s="2">
        <v>0.5</v>
      </c>
      <c r="S15" s="2">
        <v>1.0</v>
      </c>
      <c r="T15" s="2"/>
      <c r="U15" s="2">
        <v>0.5</v>
      </c>
      <c r="V15" s="2"/>
      <c r="W15" s="2"/>
      <c r="X15" s="2">
        <v>0.5</v>
      </c>
      <c r="Y15" s="2">
        <v>1.0</v>
      </c>
      <c r="Z15" s="2"/>
      <c r="AA15" s="2"/>
      <c r="AB15" s="2">
        <v>2.0</v>
      </c>
      <c r="AC15" s="2"/>
      <c r="AD15" s="2"/>
      <c r="AE15" s="2">
        <v>1.0</v>
      </c>
      <c r="AF15" s="2"/>
      <c r="AG15" s="2">
        <v>0.5</v>
      </c>
      <c r="AH15" s="2">
        <v>1.0</v>
      </c>
      <c r="AI15" s="2">
        <v>1.0</v>
      </c>
      <c r="AJ15" s="2"/>
      <c r="AK15" s="2"/>
      <c r="AL15" s="2"/>
      <c r="AM15" s="2">
        <v>0.5</v>
      </c>
      <c r="AN15" s="2">
        <v>1.0</v>
      </c>
      <c r="AO15" s="2"/>
      <c r="AP15" s="2"/>
      <c r="AQ15" s="2">
        <v>1.0</v>
      </c>
      <c r="AR15" s="2">
        <v>1.0</v>
      </c>
      <c r="AS15" s="2">
        <v>0.5</v>
      </c>
      <c r="AT15" s="2"/>
      <c r="AU15" s="2"/>
      <c r="AV15" s="2"/>
      <c r="AW15" s="2">
        <v>1.0</v>
      </c>
      <c r="AX15" s="2"/>
      <c r="AY15" s="2"/>
      <c r="AZ15" s="2"/>
      <c r="BA15" s="2"/>
      <c r="BB15" s="1">
        <v>0.5</v>
      </c>
      <c r="BC15" s="1">
        <v>1.0</v>
      </c>
      <c r="BD15" s="19"/>
      <c r="BE15" s="1"/>
      <c r="BF15" s="1"/>
      <c r="BG15" s="19"/>
      <c r="BH15" s="1"/>
      <c r="BI15" s="2">
        <v>1.0</v>
      </c>
      <c r="BJ15" s="19"/>
      <c r="BK15" s="2"/>
      <c r="BL15" s="2">
        <v>1.0</v>
      </c>
      <c r="BM15" s="19"/>
      <c r="BN15" s="2"/>
      <c r="BO15" s="2">
        <v>1.0</v>
      </c>
      <c r="BP15" s="19"/>
      <c r="BQ15" s="2"/>
      <c r="BR15" s="2">
        <v>2.0</v>
      </c>
      <c r="BS15" s="19"/>
      <c r="BT15" s="2"/>
      <c r="BU15" s="2">
        <v>1.0</v>
      </c>
      <c r="BV15" s="19"/>
      <c r="BW15" s="2"/>
      <c r="BX15" s="2">
        <v>1.0</v>
      </c>
      <c r="BY15" s="19"/>
      <c r="BZ15" s="2"/>
      <c r="CA15" s="2">
        <v>1.0</v>
      </c>
      <c r="CB15" s="19"/>
      <c r="CC15" s="2"/>
      <c r="CD15" s="2">
        <v>1.0</v>
      </c>
      <c r="CE15" s="16"/>
      <c r="CF15" s="2"/>
      <c r="CG15" s="2">
        <v>1.0</v>
      </c>
      <c r="CH15" s="16"/>
      <c r="CI15" s="16"/>
      <c r="CJ15" s="2">
        <v>0.5</v>
      </c>
      <c r="CK15" s="2">
        <v>1.0</v>
      </c>
      <c r="CL15" s="16">
        <v>1.0</v>
      </c>
      <c r="CM15" s="1" t="str">
        <f t="shared" si="85"/>
        <v>Check</v>
      </c>
      <c r="CN15" s="2">
        <v>1.0</v>
      </c>
      <c r="CO15" s="2">
        <v>2.0</v>
      </c>
      <c r="CP15" s="16"/>
    </row>
    <row r="16" ht="21.75" customHeight="1">
      <c r="A16" s="2" t="s">
        <v>38</v>
      </c>
      <c r="B16" s="2">
        <v>207.0</v>
      </c>
      <c r="C16" s="2" t="s">
        <v>39</v>
      </c>
      <c r="D16" s="17">
        <f>IFERROR(__xludf.DUMMYFUNCTION("""COMPUTED_VALUE"""),437.84970663457216)</f>
        <v>437.8497066</v>
      </c>
      <c r="E16" s="1"/>
      <c r="F16" s="2">
        <v>2900.0</v>
      </c>
      <c r="G16" s="18" t="s">
        <v>40</v>
      </c>
      <c r="H16" s="2">
        <f t="shared" si="86"/>
        <v>53</v>
      </c>
      <c r="I16" s="2"/>
      <c r="J16" s="2"/>
      <c r="K16" s="2">
        <v>1.0</v>
      </c>
      <c r="L16" s="2"/>
      <c r="M16" s="2">
        <v>1.0</v>
      </c>
      <c r="N16" s="2">
        <v>1.0</v>
      </c>
      <c r="O16" s="2"/>
      <c r="P16" s="2"/>
      <c r="Q16" s="2"/>
      <c r="R16" s="2"/>
      <c r="S16" s="2">
        <v>1.0</v>
      </c>
      <c r="T16" s="2">
        <v>1.0</v>
      </c>
      <c r="U16" s="2"/>
      <c r="V16" s="2">
        <v>1.0</v>
      </c>
      <c r="W16" s="2">
        <v>1.0</v>
      </c>
      <c r="X16" s="2"/>
      <c r="Y16" s="2">
        <v>1.0</v>
      </c>
      <c r="Z16" s="2">
        <v>1.0</v>
      </c>
      <c r="AA16" s="2"/>
      <c r="AB16" s="2">
        <v>2.0</v>
      </c>
      <c r="AC16" s="2">
        <v>1.0</v>
      </c>
      <c r="AD16" s="2"/>
      <c r="AE16" s="2">
        <v>1.0</v>
      </c>
      <c r="AF16" s="2">
        <v>1.0</v>
      </c>
      <c r="AG16" s="2"/>
      <c r="AH16" s="2">
        <v>1.0</v>
      </c>
      <c r="AI16" s="2">
        <v>1.0</v>
      </c>
      <c r="AJ16" s="2"/>
      <c r="AK16" s="2">
        <v>1.0</v>
      </c>
      <c r="AL16" s="2">
        <v>1.0</v>
      </c>
      <c r="AM16" s="2">
        <v>0.5</v>
      </c>
      <c r="AN16" s="2">
        <v>1.0</v>
      </c>
      <c r="AO16" s="2"/>
      <c r="AP16" s="2"/>
      <c r="AQ16" s="2">
        <v>1.0</v>
      </c>
      <c r="AR16" s="2">
        <v>1.0</v>
      </c>
      <c r="AS16" s="2">
        <v>0.5</v>
      </c>
      <c r="AT16" s="2">
        <v>1.0</v>
      </c>
      <c r="AU16" s="2">
        <v>1.0</v>
      </c>
      <c r="AV16" s="2"/>
      <c r="AW16" s="2">
        <v>1.0</v>
      </c>
      <c r="AX16" s="2">
        <v>1.0</v>
      </c>
      <c r="AY16" s="2"/>
      <c r="AZ16" s="2">
        <v>1.0</v>
      </c>
      <c r="BA16" s="2">
        <v>1.0</v>
      </c>
      <c r="BB16" s="19"/>
      <c r="BC16" s="1">
        <v>1.0</v>
      </c>
      <c r="BD16" s="1">
        <v>1.0</v>
      </c>
      <c r="BE16" s="19"/>
      <c r="BF16" s="1">
        <v>1.0</v>
      </c>
      <c r="BG16" s="1">
        <v>1.0</v>
      </c>
      <c r="BH16" s="19"/>
      <c r="BI16" s="1">
        <v>1.0</v>
      </c>
      <c r="BJ16" s="1">
        <v>1.0</v>
      </c>
      <c r="BK16" s="16"/>
      <c r="BL16" s="1">
        <v>1.0</v>
      </c>
      <c r="BM16" s="1">
        <v>1.0</v>
      </c>
      <c r="BN16" s="16"/>
      <c r="BO16" s="1">
        <v>1.0</v>
      </c>
      <c r="BP16" s="1">
        <v>1.0</v>
      </c>
      <c r="BQ16" s="16"/>
      <c r="BR16" s="2">
        <v>2.0</v>
      </c>
      <c r="BS16" s="1">
        <v>1.0</v>
      </c>
      <c r="BT16" s="16"/>
      <c r="BU16" s="1"/>
      <c r="BV16" s="1">
        <v>1.0</v>
      </c>
      <c r="BW16" s="16"/>
      <c r="BX16" s="2">
        <v>1.0</v>
      </c>
      <c r="BY16" s="1">
        <v>1.0</v>
      </c>
      <c r="BZ16" s="16"/>
      <c r="CA16" s="2"/>
      <c r="CB16" s="1"/>
      <c r="CC16" s="16"/>
      <c r="CD16" s="2">
        <v>1.0</v>
      </c>
      <c r="CE16" s="2">
        <v>1.0</v>
      </c>
      <c r="CF16" s="16"/>
      <c r="CG16" s="2">
        <v>1.0</v>
      </c>
      <c r="CH16" s="2">
        <v>1.0</v>
      </c>
      <c r="CI16" s="2"/>
      <c r="CJ16" s="16"/>
      <c r="CK16" s="2">
        <v>1.0</v>
      </c>
      <c r="CL16" s="2">
        <v>1.0</v>
      </c>
      <c r="CM16" s="1" t="str">
        <f t="shared" si="85"/>
        <v>OK</v>
      </c>
      <c r="CN16" s="16"/>
      <c r="CO16" s="2">
        <v>2.0</v>
      </c>
      <c r="CP16" s="2">
        <v>1.0</v>
      </c>
    </row>
    <row r="17" ht="21.75" customHeight="1">
      <c r="A17" s="2" t="s">
        <v>41</v>
      </c>
      <c r="B17" s="2">
        <v>207.0</v>
      </c>
      <c r="C17" s="2" t="s">
        <v>15</v>
      </c>
      <c r="D17" s="17">
        <f>IFERROR(__xludf.DUMMYFUNCTION("""COMPUTED_VALUE"""),243.9133443658793)</f>
        <v>243.9133444</v>
      </c>
      <c r="E17" s="1"/>
      <c r="F17" s="2" t="s">
        <v>42</v>
      </c>
      <c r="G17" s="18" t="s">
        <v>43</v>
      </c>
      <c r="H17" s="2">
        <f t="shared" si="86"/>
        <v>60.5</v>
      </c>
      <c r="I17" s="2"/>
      <c r="J17" s="2"/>
      <c r="K17" s="2"/>
      <c r="L17" s="2"/>
      <c r="M17" s="2"/>
      <c r="N17" s="2"/>
      <c r="O17" s="2"/>
      <c r="P17" s="2"/>
      <c r="Q17" s="2">
        <v>1.0</v>
      </c>
      <c r="R17" s="2">
        <v>0.5</v>
      </c>
      <c r="S17" s="2">
        <v>1.0</v>
      </c>
      <c r="T17" s="2">
        <v>1.0</v>
      </c>
      <c r="U17" s="2">
        <v>0.5</v>
      </c>
      <c r="V17" s="2">
        <v>1.0</v>
      </c>
      <c r="W17" s="2">
        <v>1.0</v>
      </c>
      <c r="X17" s="2">
        <v>0.5</v>
      </c>
      <c r="Y17" s="2">
        <v>1.0</v>
      </c>
      <c r="Z17" s="2">
        <v>1.0</v>
      </c>
      <c r="AA17" s="2"/>
      <c r="AB17" s="2">
        <v>2.0</v>
      </c>
      <c r="AC17" s="2">
        <v>1.0</v>
      </c>
      <c r="AD17" s="2"/>
      <c r="AE17" s="2">
        <v>1.0</v>
      </c>
      <c r="AF17" s="2">
        <v>1.0</v>
      </c>
      <c r="AG17" s="2"/>
      <c r="AH17" s="2">
        <v>1.0</v>
      </c>
      <c r="AI17" s="2">
        <v>1.0</v>
      </c>
      <c r="AJ17" s="2"/>
      <c r="AK17" s="2">
        <v>1.0</v>
      </c>
      <c r="AL17" s="2">
        <v>1.0</v>
      </c>
      <c r="AM17" s="2">
        <v>0.5</v>
      </c>
      <c r="AN17" s="2">
        <v>1.0</v>
      </c>
      <c r="AO17" s="2"/>
      <c r="AP17" s="2"/>
      <c r="AQ17" s="2">
        <v>1.0</v>
      </c>
      <c r="AR17" s="2">
        <v>1.0</v>
      </c>
      <c r="AS17" s="2">
        <v>0.5</v>
      </c>
      <c r="AT17" s="2"/>
      <c r="AU17" s="2">
        <v>1.0</v>
      </c>
      <c r="AV17" s="2">
        <v>0.5</v>
      </c>
      <c r="AW17" s="2">
        <v>1.0</v>
      </c>
      <c r="AX17" s="2">
        <v>1.0</v>
      </c>
      <c r="AY17" s="2"/>
      <c r="AZ17" s="2">
        <v>1.0</v>
      </c>
      <c r="BA17" s="2">
        <v>1.0</v>
      </c>
      <c r="BB17" s="1">
        <v>0.5</v>
      </c>
      <c r="BC17" s="1">
        <v>1.0</v>
      </c>
      <c r="BD17" s="1">
        <v>1.0</v>
      </c>
      <c r="BE17" s="1"/>
      <c r="BF17" s="1">
        <v>1.0</v>
      </c>
      <c r="BG17" s="1">
        <v>1.0</v>
      </c>
      <c r="BH17" s="2">
        <v>0.5</v>
      </c>
      <c r="BI17" s="1">
        <v>1.0</v>
      </c>
      <c r="BJ17" s="1">
        <v>1.0</v>
      </c>
      <c r="BK17" s="2"/>
      <c r="BL17" s="1">
        <v>1.0</v>
      </c>
      <c r="BM17" s="1">
        <v>1.0</v>
      </c>
      <c r="BN17" s="2">
        <v>0.5</v>
      </c>
      <c r="BO17" s="1">
        <v>1.0</v>
      </c>
      <c r="BP17" s="1">
        <v>1.0</v>
      </c>
      <c r="BQ17" s="2">
        <v>0.5</v>
      </c>
      <c r="BR17" s="2">
        <v>2.0</v>
      </c>
      <c r="BS17" s="1">
        <v>1.0</v>
      </c>
      <c r="BT17" s="2">
        <v>0.5</v>
      </c>
      <c r="BU17" s="1">
        <v>1.0</v>
      </c>
      <c r="BV17" s="1">
        <v>1.0</v>
      </c>
      <c r="BW17" s="2">
        <v>0.5</v>
      </c>
      <c r="BX17" s="1">
        <v>1.0</v>
      </c>
      <c r="BY17" s="1">
        <v>1.0</v>
      </c>
      <c r="BZ17" s="2">
        <v>0.5</v>
      </c>
      <c r="CA17" s="1">
        <v>1.0</v>
      </c>
      <c r="CB17" s="1">
        <v>1.0</v>
      </c>
      <c r="CC17" s="2">
        <v>0.5</v>
      </c>
      <c r="CD17" s="1">
        <v>1.0</v>
      </c>
      <c r="CE17" s="1">
        <v>1.0</v>
      </c>
      <c r="CF17" s="2">
        <v>0.5</v>
      </c>
      <c r="CG17" s="1">
        <v>1.0</v>
      </c>
      <c r="CH17" s="1">
        <v>1.0</v>
      </c>
      <c r="CI17" s="1"/>
      <c r="CJ17" s="2">
        <v>0.5</v>
      </c>
      <c r="CK17" s="1">
        <v>1.0</v>
      </c>
      <c r="CL17" s="2">
        <v>1.0</v>
      </c>
      <c r="CM17" s="1" t="str">
        <f t="shared" si="85"/>
        <v>OK</v>
      </c>
      <c r="CN17" s="2">
        <v>0.5</v>
      </c>
      <c r="CO17" s="2">
        <v>2.0</v>
      </c>
      <c r="CP17" s="1">
        <v>1.0</v>
      </c>
    </row>
    <row r="18" ht="21.75" customHeight="1">
      <c r="A18" s="2" t="s">
        <v>44</v>
      </c>
      <c r="B18" s="2">
        <v>207.0</v>
      </c>
      <c r="C18" s="2" t="s">
        <v>39</v>
      </c>
      <c r="D18" s="17">
        <f>IFERROR(__xludf.DUMMYFUNCTION("""COMPUTED_VALUE"""),241.27576350233198)</f>
        <v>241.2757635</v>
      </c>
      <c r="E18" s="1"/>
      <c r="F18" s="2">
        <v>1900.0</v>
      </c>
      <c r="G18" s="18" t="s">
        <v>45</v>
      </c>
      <c r="H18" s="2">
        <f t="shared" si="86"/>
        <v>32.5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1.0</v>
      </c>
      <c r="AF18" s="2">
        <v>1.0</v>
      </c>
      <c r="AG18" s="2"/>
      <c r="AH18" s="2">
        <v>1.0</v>
      </c>
      <c r="AI18" s="2">
        <v>1.0</v>
      </c>
      <c r="AJ18" s="2"/>
      <c r="AK18" s="2">
        <v>1.0</v>
      </c>
      <c r="AL18" s="2">
        <v>1.0</v>
      </c>
      <c r="AM18" s="2">
        <v>0.5</v>
      </c>
      <c r="AN18" s="2">
        <v>1.0</v>
      </c>
      <c r="AO18" s="2">
        <v>1.0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9"/>
      <c r="BC18" s="19"/>
      <c r="BD18" s="19"/>
      <c r="BE18" s="19"/>
      <c r="BF18" s="19"/>
      <c r="BG18" s="19"/>
      <c r="BH18" s="19"/>
      <c r="BI18" s="16">
        <v>1.0</v>
      </c>
      <c r="BJ18" s="16">
        <v>1.0</v>
      </c>
      <c r="BK18" s="16"/>
      <c r="BL18" s="16">
        <v>1.0</v>
      </c>
      <c r="BM18" s="16">
        <v>1.0</v>
      </c>
      <c r="BN18" s="16"/>
      <c r="BO18" s="16">
        <v>1.0</v>
      </c>
      <c r="BP18" s="16">
        <v>1.0</v>
      </c>
      <c r="BQ18" s="16"/>
      <c r="BR18" s="16">
        <v>2.0</v>
      </c>
      <c r="BS18" s="16">
        <v>1.0</v>
      </c>
      <c r="BT18" s="16"/>
      <c r="BU18" s="16">
        <v>1.0</v>
      </c>
      <c r="BV18" s="16">
        <v>1.0</v>
      </c>
      <c r="BW18" s="16"/>
      <c r="BX18" s="16">
        <v>1.0</v>
      </c>
      <c r="BY18" s="16">
        <v>1.0</v>
      </c>
      <c r="BZ18" s="16"/>
      <c r="CA18" s="16">
        <v>1.0</v>
      </c>
      <c r="CB18" s="16">
        <v>1.0</v>
      </c>
      <c r="CC18" s="16"/>
      <c r="CD18" s="16">
        <v>1.0</v>
      </c>
      <c r="CE18" s="16">
        <v>1.0</v>
      </c>
      <c r="CF18" s="16"/>
      <c r="CG18" s="16">
        <v>1.0</v>
      </c>
      <c r="CH18" s="16">
        <v>1.0</v>
      </c>
      <c r="CI18" s="16"/>
      <c r="CJ18" s="16"/>
      <c r="CK18" s="16">
        <v>1.0</v>
      </c>
      <c r="CL18" s="16">
        <v>1.0</v>
      </c>
      <c r="CM18" s="1" t="str">
        <f t="shared" si="85"/>
        <v>OK</v>
      </c>
      <c r="CN18" s="16"/>
      <c r="CO18" s="16">
        <v>2.0</v>
      </c>
      <c r="CP18" s="16">
        <v>1.0</v>
      </c>
    </row>
    <row r="19" ht="21.75" customHeight="1">
      <c r="A19" s="2" t="s">
        <v>46</v>
      </c>
      <c r="B19" s="2">
        <v>208.0</v>
      </c>
      <c r="C19" s="2" t="s">
        <v>15</v>
      </c>
      <c r="D19" s="17">
        <f>IFERROR(__xludf.DUMMYFUNCTION("""COMPUTED_VALUE"""),-971.639987964495)</f>
        <v>-971.639988</v>
      </c>
      <c r="E19" s="1"/>
      <c r="F19" s="2" t="s">
        <v>47</v>
      </c>
      <c r="G19" s="18" t="s">
        <v>43</v>
      </c>
      <c r="H19" s="2">
        <f t="shared" si="86"/>
        <v>66</v>
      </c>
      <c r="I19" s="2"/>
      <c r="J19" s="2"/>
      <c r="K19" s="2">
        <v>1.0</v>
      </c>
      <c r="L19" s="2">
        <v>0.5</v>
      </c>
      <c r="M19" s="2">
        <v>1.0</v>
      </c>
      <c r="N19" s="2">
        <v>1.0</v>
      </c>
      <c r="O19" s="2"/>
      <c r="P19" s="2">
        <v>1.0</v>
      </c>
      <c r="Q19" s="2"/>
      <c r="R19" s="2">
        <v>0.5</v>
      </c>
      <c r="S19" s="2">
        <v>1.0</v>
      </c>
      <c r="T19" s="2">
        <v>1.0</v>
      </c>
      <c r="U19" s="2">
        <v>0.5</v>
      </c>
      <c r="V19" s="2">
        <v>1.0</v>
      </c>
      <c r="W19" s="2">
        <v>1.0</v>
      </c>
      <c r="X19" s="2"/>
      <c r="Y19" s="2">
        <v>1.0</v>
      </c>
      <c r="Z19" s="2">
        <v>1.0</v>
      </c>
      <c r="AA19" s="2"/>
      <c r="AB19" s="2">
        <v>2.0</v>
      </c>
      <c r="AC19" s="2">
        <v>1.0</v>
      </c>
      <c r="AD19" s="2">
        <v>0.5</v>
      </c>
      <c r="AE19" s="2">
        <v>1.0</v>
      </c>
      <c r="AF19" s="2"/>
      <c r="AG19" s="2">
        <v>0.5</v>
      </c>
      <c r="AH19" s="2">
        <v>1.0</v>
      </c>
      <c r="AI19" s="2">
        <v>1.0</v>
      </c>
      <c r="AJ19" s="2">
        <v>0.5</v>
      </c>
      <c r="AK19" s="2">
        <v>1.0</v>
      </c>
      <c r="AL19" s="2">
        <v>1.0</v>
      </c>
      <c r="AM19" s="2">
        <v>0.5</v>
      </c>
      <c r="AN19" s="2">
        <v>1.0</v>
      </c>
      <c r="AO19" s="2">
        <v>1.0</v>
      </c>
      <c r="AP19" s="2">
        <v>0.5</v>
      </c>
      <c r="AQ19" s="2">
        <v>1.0</v>
      </c>
      <c r="AR19" s="2">
        <v>1.0</v>
      </c>
      <c r="AS19" s="2">
        <v>0.5</v>
      </c>
      <c r="AT19" s="2"/>
      <c r="AU19" s="2">
        <v>1.0</v>
      </c>
      <c r="AV19" s="2">
        <v>0.5</v>
      </c>
      <c r="AW19" s="2">
        <v>1.0</v>
      </c>
      <c r="AX19" s="2">
        <v>1.0</v>
      </c>
      <c r="AY19" s="2"/>
      <c r="AZ19" s="2">
        <v>1.0</v>
      </c>
      <c r="BA19" s="2">
        <v>1.0</v>
      </c>
      <c r="BB19" s="1">
        <v>0.5</v>
      </c>
      <c r="BC19" s="1">
        <v>1.0</v>
      </c>
      <c r="BD19" s="1">
        <v>1.0</v>
      </c>
      <c r="BE19" s="1">
        <v>0.5</v>
      </c>
      <c r="BF19" s="1">
        <v>1.0</v>
      </c>
      <c r="BG19" s="1">
        <v>1.0</v>
      </c>
      <c r="BH19" s="1">
        <v>0.5</v>
      </c>
      <c r="BI19" s="1">
        <v>1.0</v>
      </c>
      <c r="BJ19" s="1">
        <v>1.0</v>
      </c>
      <c r="BK19" s="1"/>
      <c r="BL19" s="1">
        <v>1.0</v>
      </c>
      <c r="BM19" s="1">
        <v>1.0</v>
      </c>
      <c r="BN19" s="1">
        <v>0.5</v>
      </c>
      <c r="BO19" s="1">
        <v>1.0</v>
      </c>
      <c r="BP19" s="1">
        <v>1.0</v>
      </c>
      <c r="BQ19" s="1">
        <v>0.5</v>
      </c>
      <c r="BR19" s="2">
        <v>2.0</v>
      </c>
      <c r="BS19" s="1">
        <v>1.0</v>
      </c>
      <c r="BT19" s="1">
        <v>0.5</v>
      </c>
      <c r="BU19" s="1">
        <v>1.0</v>
      </c>
      <c r="BV19" s="1">
        <v>1.0</v>
      </c>
      <c r="BW19" s="1">
        <v>0.5</v>
      </c>
      <c r="BX19" s="1">
        <v>1.0</v>
      </c>
      <c r="BY19" s="1">
        <v>1.0</v>
      </c>
      <c r="BZ19" s="1">
        <v>0.5</v>
      </c>
      <c r="CA19" s="1">
        <v>1.0</v>
      </c>
      <c r="CB19" s="1">
        <v>1.0</v>
      </c>
      <c r="CC19" s="1">
        <v>0.5</v>
      </c>
      <c r="CD19" s="1">
        <v>1.0</v>
      </c>
      <c r="CE19" s="1">
        <v>1.0</v>
      </c>
      <c r="CF19" s="1">
        <v>0.5</v>
      </c>
      <c r="CG19" s="1">
        <v>1.0</v>
      </c>
      <c r="CH19" s="1">
        <v>1.0</v>
      </c>
      <c r="CI19" s="1"/>
      <c r="CJ19" s="1">
        <v>0.5</v>
      </c>
      <c r="CK19" s="1">
        <v>1.0</v>
      </c>
      <c r="CL19" s="2">
        <v>1.0</v>
      </c>
      <c r="CM19" s="1" t="str">
        <f t="shared" si="85"/>
        <v>OK</v>
      </c>
      <c r="CN19" s="1">
        <v>0.5</v>
      </c>
      <c r="CO19" s="2">
        <v>2.0</v>
      </c>
      <c r="CP19" s="1">
        <v>1.0</v>
      </c>
    </row>
    <row r="20" ht="21.75" customHeight="1">
      <c r="A20" s="2" t="s">
        <v>48</v>
      </c>
      <c r="B20" s="2">
        <v>301.0</v>
      </c>
      <c r="C20" s="2" t="s">
        <v>39</v>
      </c>
      <c r="D20" s="17">
        <f>IFERROR(__xludf.DUMMYFUNCTION("""COMPUTED_VALUE"""),1323.701218594855)</f>
        <v>1323.701219</v>
      </c>
      <c r="E20" s="1"/>
      <c r="F20" s="2" t="s">
        <v>49</v>
      </c>
      <c r="G20" s="18" t="s">
        <v>50</v>
      </c>
      <c r="H20" s="2">
        <f t="shared" si="86"/>
        <v>35.5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1.0</v>
      </c>
      <c r="T20" s="2">
        <v>1.0</v>
      </c>
      <c r="U20" s="2"/>
      <c r="V20" s="2"/>
      <c r="W20" s="2"/>
      <c r="X20" s="2"/>
      <c r="Y20" s="2">
        <v>1.0</v>
      </c>
      <c r="Z20" s="2"/>
      <c r="AA20" s="2"/>
      <c r="AB20" s="2">
        <v>2.0</v>
      </c>
      <c r="AC20" s="2">
        <v>1.0</v>
      </c>
      <c r="AD20" s="2"/>
      <c r="AE20" s="2">
        <v>1.0</v>
      </c>
      <c r="AF20" s="2"/>
      <c r="AG20" s="2"/>
      <c r="AH20" s="2">
        <v>1.0</v>
      </c>
      <c r="AI20" s="2">
        <v>1.0</v>
      </c>
      <c r="AJ20" s="2"/>
      <c r="AK20" s="2">
        <v>1.0</v>
      </c>
      <c r="AL20" s="2">
        <v>1.0</v>
      </c>
      <c r="AM20" s="2"/>
      <c r="AN20" s="2">
        <v>1.0</v>
      </c>
      <c r="AO20" s="2">
        <v>1.0</v>
      </c>
      <c r="AP20" s="2"/>
      <c r="AQ20" s="2"/>
      <c r="AR20" s="2">
        <v>1.0</v>
      </c>
      <c r="AS20" s="2">
        <v>0.5</v>
      </c>
      <c r="AT20" s="2"/>
      <c r="AU20" s="2"/>
      <c r="AV20" s="2"/>
      <c r="AW20" s="2"/>
      <c r="AX20" s="2"/>
      <c r="AY20" s="2"/>
      <c r="AZ20" s="2"/>
      <c r="BA20" s="2"/>
      <c r="BB20" s="19"/>
      <c r="BC20" s="19"/>
      <c r="BD20" s="19"/>
      <c r="BE20" s="19"/>
      <c r="BF20" s="19"/>
      <c r="BG20" s="19"/>
      <c r="BH20" s="19"/>
      <c r="BI20" s="16"/>
      <c r="BJ20" s="16"/>
      <c r="BK20" s="19"/>
      <c r="BL20" s="16"/>
      <c r="BM20" s="16">
        <v>1.0</v>
      </c>
      <c r="BN20" s="16"/>
      <c r="BO20" s="16">
        <v>1.0</v>
      </c>
      <c r="BP20" s="16">
        <v>1.0</v>
      </c>
      <c r="BQ20" s="16"/>
      <c r="BR20" s="16">
        <v>2.0</v>
      </c>
      <c r="BS20" s="16">
        <v>1.0</v>
      </c>
      <c r="BT20" s="16"/>
      <c r="BU20" s="16">
        <v>1.0</v>
      </c>
      <c r="BV20" s="16">
        <v>1.0</v>
      </c>
      <c r="BW20" s="16"/>
      <c r="BX20" s="16">
        <v>1.0</v>
      </c>
      <c r="BY20" s="16">
        <v>1.0</v>
      </c>
      <c r="BZ20" s="16"/>
      <c r="CA20" s="16">
        <v>1.0</v>
      </c>
      <c r="CB20" s="16">
        <v>1.0</v>
      </c>
      <c r="CC20" s="16"/>
      <c r="CD20" s="16">
        <v>1.0</v>
      </c>
      <c r="CE20" s="16">
        <v>1.0</v>
      </c>
      <c r="CF20" s="16"/>
      <c r="CG20" s="16">
        <v>1.0</v>
      </c>
      <c r="CH20" s="16">
        <v>1.0</v>
      </c>
      <c r="CI20" s="16"/>
      <c r="CJ20" s="16"/>
      <c r="CK20" s="16">
        <v>1.0</v>
      </c>
      <c r="CL20" s="16">
        <v>1.0</v>
      </c>
      <c r="CM20" s="1" t="str">
        <f t="shared" si="85"/>
        <v>OK</v>
      </c>
      <c r="CN20" s="16"/>
      <c r="CO20" s="16">
        <v>2.0</v>
      </c>
      <c r="CP20" s="16">
        <v>1.0</v>
      </c>
    </row>
    <row r="21" ht="21.75" customHeight="1">
      <c r="A21" s="2" t="s">
        <v>51</v>
      </c>
      <c r="B21" s="2">
        <v>302.0</v>
      </c>
      <c r="C21" s="2" t="s">
        <v>39</v>
      </c>
      <c r="D21" s="17">
        <f>IFERROR(__xludf.DUMMYFUNCTION("""COMPUTED_VALUE"""),-4.4696855724387206)</f>
        <v>-4.469685572</v>
      </c>
      <c r="E21" s="1"/>
      <c r="F21" s="2" t="s">
        <v>52</v>
      </c>
      <c r="G21" s="18" t="s">
        <v>53</v>
      </c>
      <c r="H21" s="2">
        <f t="shared" si="86"/>
        <v>62.5</v>
      </c>
      <c r="I21" s="2"/>
      <c r="J21" s="2"/>
      <c r="K21" s="2">
        <v>2.0</v>
      </c>
      <c r="L21" s="2"/>
      <c r="M21" s="2">
        <v>2.0</v>
      </c>
      <c r="N21" s="2">
        <v>2.0</v>
      </c>
      <c r="O21" s="2"/>
      <c r="P21" s="2">
        <v>1.0</v>
      </c>
      <c r="Q21" s="2">
        <v>1.0</v>
      </c>
      <c r="R21" s="2"/>
      <c r="S21" s="2">
        <v>1.0</v>
      </c>
      <c r="T21" s="2">
        <v>1.0</v>
      </c>
      <c r="U21" s="2"/>
      <c r="V21" s="2">
        <v>1.0</v>
      </c>
      <c r="W21" s="2">
        <v>1.0</v>
      </c>
      <c r="X21" s="2"/>
      <c r="Y21" s="2">
        <v>1.0</v>
      </c>
      <c r="Z21" s="2">
        <v>1.0</v>
      </c>
      <c r="AA21" s="2"/>
      <c r="AB21" s="2">
        <v>2.0</v>
      </c>
      <c r="AC21" s="2">
        <v>1.0</v>
      </c>
      <c r="AD21" s="2"/>
      <c r="AE21" s="2">
        <v>1.0</v>
      </c>
      <c r="AF21" s="2">
        <v>1.0</v>
      </c>
      <c r="AG21" s="2"/>
      <c r="AH21" s="2">
        <v>1.0</v>
      </c>
      <c r="AI21" s="2">
        <v>1.0</v>
      </c>
      <c r="AJ21" s="2"/>
      <c r="AK21" s="2">
        <v>1.0</v>
      </c>
      <c r="AL21" s="2">
        <v>1.0</v>
      </c>
      <c r="AM21" s="2"/>
      <c r="AN21" s="2">
        <v>1.0</v>
      </c>
      <c r="AO21" s="2">
        <v>1.0</v>
      </c>
      <c r="AP21" s="2"/>
      <c r="AQ21" s="2">
        <v>1.0</v>
      </c>
      <c r="AR21" s="2">
        <v>1.0</v>
      </c>
      <c r="AS21" s="2">
        <v>0.5</v>
      </c>
      <c r="AT21" s="2">
        <v>1.0</v>
      </c>
      <c r="AU21" s="2">
        <v>1.0</v>
      </c>
      <c r="AV21" s="2"/>
      <c r="AW21" s="2">
        <v>1.0</v>
      </c>
      <c r="AX21" s="2">
        <v>1.0</v>
      </c>
      <c r="AY21" s="2"/>
      <c r="AZ21" s="2">
        <v>1.0</v>
      </c>
      <c r="BA21" s="2">
        <v>1.0</v>
      </c>
      <c r="BB21" s="19"/>
      <c r="BC21" s="1">
        <v>1.0</v>
      </c>
      <c r="BD21" s="1">
        <v>1.0</v>
      </c>
      <c r="BE21" s="19"/>
      <c r="BF21" s="1">
        <v>1.0</v>
      </c>
      <c r="BG21" s="1">
        <v>1.0</v>
      </c>
      <c r="BH21" s="19"/>
      <c r="BI21" s="1">
        <v>1.0</v>
      </c>
      <c r="BJ21" s="1">
        <v>1.0</v>
      </c>
      <c r="BK21" s="16"/>
      <c r="BL21" s="1">
        <v>1.0</v>
      </c>
      <c r="BM21" s="1">
        <v>1.0</v>
      </c>
      <c r="BN21" s="16"/>
      <c r="BO21" s="1">
        <v>1.0</v>
      </c>
      <c r="BP21" s="1">
        <v>1.0</v>
      </c>
      <c r="BQ21" s="16"/>
      <c r="BR21" s="2">
        <v>2.0</v>
      </c>
      <c r="BS21" s="1">
        <v>1.0</v>
      </c>
      <c r="BT21" s="16"/>
      <c r="BU21" s="1">
        <v>1.0</v>
      </c>
      <c r="BV21" s="1">
        <v>1.0</v>
      </c>
      <c r="BW21" s="16"/>
      <c r="BX21" s="1">
        <v>1.0</v>
      </c>
      <c r="BY21" s="1">
        <v>1.0</v>
      </c>
      <c r="BZ21" s="16"/>
      <c r="CA21" s="1">
        <v>1.0</v>
      </c>
      <c r="CB21" s="1">
        <v>1.0</v>
      </c>
      <c r="CC21" s="16"/>
      <c r="CD21" s="1">
        <v>1.0</v>
      </c>
      <c r="CE21" s="1">
        <v>1.0</v>
      </c>
      <c r="CF21" s="16"/>
      <c r="CG21" s="1">
        <v>1.0</v>
      </c>
      <c r="CH21" s="1">
        <v>1.0</v>
      </c>
      <c r="CI21" s="1"/>
      <c r="CJ21" s="16"/>
      <c r="CK21" s="1">
        <v>1.0</v>
      </c>
      <c r="CL21" s="2">
        <v>1.0</v>
      </c>
      <c r="CM21" s="1" t="str">
        <f t="shared" si="85"/>
        <v>Check</v>
      </c>
      <c r="CN21" s="16">
        <v>1.0</v>
      </c>
      <c r="CO21" s="2">
        <v>2.0</v>
      </c>
      <c r="CP21" s="1">
        <v>1.0</v>
      </c>
    </row>
    <row r="22" ht="21.75" customHeight="1">
      <c r="A22" s="2" t="s">
        <v>54</v>
      </c>
      <c r="B22" s="2">
        <v>302.0</v>
      </c>
      <c r="C22" s="2" t="s">
        <v>36</v>
      </c>
      <c r="D22" s="17">
        <f>IFERROR(__xludf.DUMMYFUNCTION("""COMPUTED_VALUE"""),-41.55393410561146)</f>
        <v>-41.55393411</v>
      </c>
      <c r="E22" s="1"/>
      <c r="F22" s="2">
        <v>1500.0</v>
      </c>
      <c r="G22" s="4" t="s">
        <v>25</v>
      </c>
      <c r="H22" s="2">
        <f t="shared" si="86"/>
        <v>29</v>
      </c>
      <c r="I22" s="2"/>
      <c r="J22" s="2"/>
      <c r="K22" s="2"/>
      <c r="L22" s="2"/>
      <c r="M22" s="2">
        <v>1.0</v>
      </c>
      <c r="N22" s="2"/>
      <c r="O22" s="2"/>
      <c r="P22" s="2">
        <v>1.0</v>
      </c>
      <c r="Q22" s="2"/>
      <c r="R22" s="2"/>
      <c r="S22" s="2">
        <v>1.0</v>
      </c>
      <c r="T22" s="2"/>
      <c r="U22" s="2"/>
      <c r="V22" s="2">
        <v>1.0</v>
      </c>
      <c r="W22" s="2"/>
      <c r="X22" s="2"/>
      <c r="Y22" s="2">
        <v>1.0</v>
      </c>
      <c r="Z22" s="2"/>
      <c r="AA22" s="2"/>
      <c r="AB22" s="2">
        <v>2.0</v>
      </c>
      <c r="AC22" s="2"/>
      <c r="AD22" s="2"/>
      <c r="AE22" s="2">
        <v>1.0</v>
      </c>
      <c r="AF22" s="2"/>
      <c r="AG22" s="2"/>
      <c r="AH22" s="2">
        <v>1.0</v>
      </c>
      <c r="AI22" s="2"/>
      <c r="AJ22" s="2"/>
      <c r="AK22" s="2">
        <v>1.0</v>
      </c>
      <c r="AL22" s="2"/>
      <c r="AM22" s="2"/>
      <c r="AN22" s="2">
        <v>1.0</v>
      </c>
      <c r="AO22" s="2"/>
      <c r="AP22" s="2"/>
      <c r="AQ22" s="2">
        <v>1.0</v>
      </c>
      <c r="AR22" s="2">
        <v>1.0</v>
      </c>
      <c r="AS22" s="2">
        <v>0.5</v>
      </c>
      <c r="AT22" s="2">
        <v>1.0</v>
      </c>
      <c r="AU22" s="2"/>
      <c r="AV22" s="2"/>
      <c r="AW22" s="2">
        <v>1.0</v>
      </c>
      <c r="AX22" s="2"/>
      <c r="AY22" s="2"/>
      <c r="AZ22" s="2"/>
      <c r="BA22" s="2"/>
      <c r="BB22" s="19"/>
      <c r="BC22" s="16">
        <v>1.0</v>
      </c>
      <c r="BD22" s="19"/>
      <c r="BE22" s="19"/>
      <c r="BF22" s="16">
        <v>1.0</v>
      </c>
      <c r="BG22" s="19"/>
      <c r="BH22" s="19"/>
      <c r="BI22" s="16">
        <v>1.0</v>
      </c>
      <c r="BJ22" s="19"/>
      <c r="BK22" s="19"/>
      <c r="BL22" s="16">
        <v>1.0</v>
      </c>
      <c r="BM22" s="19"/>
      <c r="BN22" s="19"/>
      <c r="BO22" s="16">
        <v>1.0</v>
      </c>
      <c r="BP22" s="19"/>
      <c r="BQ22" s="19"/>
      <c r="BR22" s="16">
        <v>2.0</v>
      </c>
      <c r="BS22" s="19"/>
      <c r="BT22" s="19"/>
      <c r="BU22" s="16"/>
      <c r="BV22" s="19"/>
      <c r="BW22" s="19"/>
      <c r="BX22" s="16"/>
      <c r="BY22" s="19"/>
      <c r="BZ22" s="19"/>
      <c r="CA22" s="16"/>
      <c r="CB22" s="19"/>
      <c r="CC22" s="19"/>
      <c r="CD22" s="16">
        <v>1.0</v>
      </c>
      <c r="CE22" s="19"/>
      <c r="CF22" s="19"/>
      <c r="CG22" s="16">
        <v>1.0</v>
      </c>
      <c r="CH22" s="19"/>
      <c r="CI22" s="19"/>
      <c r="CJ22" s="19"/>
      <c r="CK22" s="16">
        <v>1.0</v>
      </c>
      <c r="CL22" s="16">
        <v>1.0</v>
      </c>
      <c r="CM22" s="1" t="str">
        <f t="shared" si="85"/>
        <v>Check</v>
      </c>
      <c r="CN22" s="16">
        <v>0.5</v>
      </c>
      <c r="CO22" s="16">
        <v>2.0</v>
      </c>
      <c r="CP22" s="16"/>
    </row>
    <row r="23" ht="21.75" customHeight="1">
      <c r="A23" s="2" t="s">
        <v>55</v>
      </c>
      <c r="B23" s="2">
        <v>302.0</v>
      </c>
      <c r="C23" s="2" t="s">
        <v>39</v>
      </c>
      <c r="D23" s="17">
        <f>IFERROR(__xludf.DUMMYFUNCTION("""COMPUTED_VALUE"""),360.467278471491)</f>
        <v>360.4672785</v>
      </c>
      <c r="E23" s="1"/>
      <c r="F23" s="2" t="s">
        <v>56</v>
      </c>
      <c r="G23" s="18" t="s">
        <v>57</v>
      </c>
      <c r="H23" s="2">
        <f t="shared" si="86"/>
        <v>31.5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>
        <v>1.0</v>
      </c>
      <c r="AT23" s="2">
        <v>1.0</v>
      </c>
      <c r="AU23" s="2">
        <v>1.0</v>
      </c>
      <c r="AV23" s="2"/>
      <c r="AW23" s="2">
        <v>1.0</v>
      </c>
      <c r="AX23" s="2">
        <v>1.0</v>
      </c>
      <c r="AY23" s="2"/>
      <c r="AZ23" s="2">
        <v>1.0</v>
      </c>
      <c r="BA23" s="2">
        <v>1.0</v>
      </c>
      <c r="BB23" s="19"/>
      <c r="BC23" s="1">
        <v>1.0</v>
      </c>
      <c r="BD23" s="1">
        <v>1.0</v>
      </c>
      <c r="BE23" s="19"/>
      <c r="BF23" s="1">
        <v>1.0</v>
      </c>
      <c r="BG23" s="1">
        <v>1.0</v>
      </c>
      <c r="BH23" s="19"/>
      <c r="BI23" s="1">
        <v>1.0</v>
      </c>
      <c r="BJ23" s="1">
        <v>1.0</v>
      </c>
      <c r="BK23" s="19"/>
      <c r="BL23" s="1">
        <v>1.0</v>
      </c>
      <c r="BM23" s="1">
        <v>1.0</v>
      </c>
      <c r="BN23" s="19"/>
      <c r="BO23" s="1">
        <v>1.0</v>
      </c>
      <c r="BP23" s="1">
        <v>1.0</v>
      </c>
      <c r="BQ23" s="19"/>
      <c r="BR23" s="2">
        <v>2.0</v>
      </c>
      <c r="BS23" s="1">
        <v>1.0</v>
      </c>
      <c r="BT23" s="19"/>
      <c r="BU23" s="1"/>
      <c r="BV23" s="1"/>
      <c r="BW23" s="19"/>
      <c r="BX23" s="1"/>
      <c r="BY23" s="2">
        <v>1.0</v>
      </c>
      <c r="BZ23" s="19"/>
      <c r="CA23" s="1"/>
      <c r="CB23" s="2">
        <v>1.0</v>
      </c>
      <c r="CC23" s="19"/>
      <c r="CD23" s="2">
        <v>1.0</v>
      </c>
      <c r="CE23" s="2">
        <v>1.0</v>
      </c>
      <c r="CF23" s="19"/>
      <c r="CG23" s="2">
        <v>1.0</v>
      </c>
      <c r="CH23" s="2">
        <v>1.0</v>
      </c>
      <c r="CI23" s="2"/>
      <c r="CJ23" s="19"/>
      <c r="CK23" s="2">
        <v>1.0</v>
      </c>
      <c r="CL23" s="2">
        <v>1.0</v>
      </c>
      <c r="CM23" s="1" t="str">
        <f t="shared" si="85"/>
        <v>Check</v>
      </c>
      <c r="CN23" s="16">
        <v>0.5</v>
      </c>
      <c r="CO23" s="2">
        <v>2.0</v>
      </c>
      <c r="CP23" s="2">
        <v>1.0</v>
      </c>
    </row>
    <row r="24" ht="21.75" customHeight="1">
      <c r="A24" s="2" t="s">
        <v>58</v>
      </c>
      <c r="B24" s="2">
        <v>305.0</v>
      </c>
      <c r="C24" s="2" t="s">
        <v>15</v>
      </c>
      <c r="D24" s="17">
        <f>IFERROR(__xludf.DUMMYFUNCTION("""COMPUTED_VALUE"""),263.50910185045905)</f>
        <v>263.5091019</v>
      </c>
      <c r="E24" s="1"/>
      <c r="F24" s="2" t="s">
        <v>59</v>
      </c>
      <c r="G24" s="18" t="s">
        <v>60</v>
      </c>
      <c r="H24" s="2">
        <f t="shared" si="86"/>
        <v>60</v>
      </c>
      <c r="I24" s="2"/>
      <c r="J24" s="2"/>
      <c r="K24" s="2">
        <v>1.0</v>
      </c>
      <c r="L24" s="2">
        <v>0.5</v>
      </c>
      <c r="M24" s="2">
        <v>1.0</v>
      </c>
      <c r="N24" s="2">
        <v>1.0</v>
      </c>
      <c r="O24" s="2">
        <v>0.5</v>
      </c>
      <c r="P24" s="2">
        <v>1.0</v>
      </c>
      <c r="Q24" s="2">
        <v>1.0</v>
      </c>
      <c r="R24" s="2">
        <v>0.5</v>
      </c>
      <c r="S24" s="2">
        <v>1.0</v>
      </c>
      <c r="T24" s="2">
        <v>1.0</v>
      </c>
      <c r="U24" s="2">
        <v>0.5</v>
      </c>
      <c r="V24" s="2">
        <v>1.0</v>
      </c>
      <c r="W24" s="2">
        <v>1.0</v>
      </c>
      <c r="X24" s="2">
        <v>0.5</v>
      </c>
      <c r="Y24" s="2">
        <v>1.0</v>
      </c>
      <c r="Z24" s="2">
        <v>1.0</v>
      </c>
      <c r="AA24" s="2">
        <v>0.5</v>
      </c>
      <c r="AB24" s="2">
        <v>2.0</v>
      </c>
      <c r="AC24" s="2">
        <v>1.0</v>
      </c>
      <c r="AD24" s="2">
        <v>0.5</v>
      </c>
      <c r="AE24" s="2">
        <v>1.0</v>
      </c>
      <c r="AF24" s="2">
        <v>1.0</v>
      </c>
      <c r="AG24" s="2">
        <v>0.5</v>
      </c>
      <c r="AH24" s="2">
        <v>1.0</v>
      </c>
      <c r="AI24" s="2">
        <v>1.0</v>
      </c>
      <c r="AJ24" s="2">
        <v>0.5</v>
      </c>
      <c r="AK24" s="2">
        <v>1.0</v>
      </c>
      <c r="AL24" s="2">
        <v>1.0</v>
      </c>
      <c r="AM24" s="2"/>
      <c r="AN24" s="2"/>
      <c r="AO24" s="2"/>
      <c r="AP24" s="2"/>
      <c r="AQ24" s="2"/>
      <c r="AR24" s="2">
        <v>1.0</v>
      </c>
      <c r="AS24" s="2">
        <v>0.5</v>
      </c>
      <c r="AT24" s="2">
        <v>1.0</v>
      </c>
      <c r="AU24" s="2">
        <v>1.0</v>
      </c>
      <c r="AV24" s="2">
        <v>0.5</v>
      </c>
      <c r="AW24" s="2">
        <v>1.0</v>
      </c>
      <c r="AX24" s="2">
        <v>1.0</v>
      </c>
      <c r="AY24" s="2">
        <v>0.5</v>
      </c>
      <c r="AZ24" s="2">
        <v>1.0</v>
      </c>
      <c r="BA24" s="2">
        <v>1.0</v>
      </c>
      <c r="BB24" s="1">
        <v>0.5</v>
      </c>
      <c r="BC24" s="1">
        <v>1.0</v>
      </c>
      <c r="BD24" s="19"/>
      <c r="BE24" s="1">
        <v>0.5</v>
      </c>
      <c r="BF24" s="1">
        <v>1.0</v>
      </c>
      <c r="BG24" s="16">
        <v>1.0</v>
      </c>
      <c r="BH24" s="1">
        <v>0.5</v>
      </c>
      <c r="BI24" s="1">
        <v>1.0</v>
      </c>
      <c r="BJ24" s="16">
        <v>1.0</v>
      </c>
      <c r="BK24" s="1"/>
      <c r="BL24" s="1">
        <v>1.0</v>
      </c>
      <c r="BM24" s="16">
        <v>1.0</v>
      </c>
      <c r="BN24" s="1">
        <v>0.5</v>
      </c>
      <c r="BO24" s="1">
        <v>1.0</v>
      </c>
      <c r="BP24" s="16">
        <v>1.0</v>
      </c>
      <c r="BQ24" s="1">
        <v>0.5</v>
      </c>
      <c r="BR24" s="2">
        <v>2.0</v>
      </c>
      <c r="BS24" s="16">
        <v>1.0</v>
      </c>
      <c r="BT24" s="1">
        <v>0.5</v>
      </c>
      <c r="BU24" s="1">
        <v>1.0</v>
      </c>
      <c r="BV24" s="16">
        <v>1.0</v>
      </c>
      <c r="BW24" s="1">
        <v>0.5</v>
      </c>
      <c r="BX24" s="1">
        <v>1.0</v>
      </c>
      <c r="BY24" s="16">
        <v>1.0</v>
      </c>
      <c r="BZ24" s="1">
        <v>0.5</v>
      </c>
      <c r="CA24" s="1">
        <v>1.0</v>
      </c>
      <c r="CB24" s="16">
        <v>1.0</v>
      </c>
      <c r="CC24" s="1">
        <v>0.5</v>
      </c>
      <c r="CD24" s="1">
        <v>1.0</v>
      </c>
      <c r="CE24" s="16">
        <v>1.0</v>
      </c>
      <c r="CF24" s="1">
        <v>0.5</v>
      </c>
      <c r="CG24" s="1">
        <v>1.0</v>
      </c>
      <c r="CH24" s="16">
        <v>1.0</v>
      </c>
      <c r="CI24" s="16"/>
      <c r="CJ24" s="1"/>
      <c r="CK24" s="1"/>
      <c r="CL24" s="16"/>
      <c r="CM24" s="1" t="str">
        <f t="shared" si="85"/>
        <v>Check</v>
      </c>
      <c r="CN24" s="1"/>
      <c r="CO24" s="1"/>
      <c r="CP24" s="16"/>
    </row>
    <row r="25" ht="21.75" customHeight="1">
      <c r="A25" s="2" t="s">
        <v>61</v>
      </c>
      <c r="B25" s="2">
        <v>306.0</v>
      </c>
      <c r="C25" s="2" t="s">
        <v>39</v>
      </c>
      <c r="D25" s="17">
        <f>IFERROR(__xludf.DUMMYFUNCTION("""COMPUTED_VALUE"""),194.61576651120822)</f>
        <v>194.6157665</v>
      </c>
      <c r="E25" s="1"/>
      <c r="F25" s="2" t="s">
        <v>62</v>
      </c>
      <c r="G25" s="18" t="s">
        <v>63</v>
      </c>
      <c r="H25" s="2">
        <f t="shared" si="86"/>
        <v>49</v>
      </c>
      <c r="I25" s="2"/>
      <c r="J25" s="2"/>
      <c r="K25" s="2">
        <v>1.0</v>
      </c>
      <c r="L25" s="2"/>
      <c r="M25" s="2">
        <v>1.0</v>
      </c>
      <c r="N25" s="2">
        <v>1.0</v>
      </c>
      <c r="O25" s="2"/>
      <c r="P25" s="2">
        <v>1.0</v>
      </c>
      <c r="Q25" s="2">
        <v>1.0</v>
      </c>
      <c r="R25" s="2"/>
      <c r="S25" s="2">
        <v>1.0</v>
      </c>
      <c r="T25" s="2">
        <v>1.0</v>
      </c>
      <c r="U25" s="2"/>
      <c r="V25" s="2">
        <v>1.0</v>
      </c>
      <c r="W25" s="2">
        <v>1.0</v>
      </c>
      <c r="X25" s="2"/>
      <c r="Y25" s="2">
        <v>1.0</v>
      </c>
      <c r="Z25" s="2">
        <v>1.0</v>
      </c>
      <c r="AA25" s="2"/>
      <c r="AB25" s="2">
        <v>2.0</v>
      </c>
      <c r="AC25" s="2">
        <v>1.0</v>
      </c>
      <c r="AD25" s="2"/>
      <c r="AE25" s="2">
        <v>1.0</v>
      </c>
      <c r="AF25" s="2">
        <v>1.0</v>
      </c>
      <c r="AG25" s="2"/>
      <c r="AH25" s="2">
        <v>1.0</v>
      </c>
      <c r="AI25" s="2">
        <v>1.0</v>
      </c>
      <c r="AJ25" s="2"/>
      <c r="AK25" s="2">
        <v>1.0</v>
      </c>
      <c r="AL25" s="2">
        <v>1.0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>
        <v>1.0</v>
      </c>
      <c r="BA25" s="2">
        <v>1.0</v>
      </c>
      <c r="BB25" s="19"/>
      <c r="BC25" s="1">
        <v>1.0</v>
      </c>
      <c r="BD25" s="19"/>
      <c r="BE25" s="19"/>
      <c r="BF25" s="1">
        <v>1.0</v>
      </c>
      <c r="BG25" s="16">
        <v>1.0</v>
      </c>
      <c r="BH25" s="19"/>
      <c r="BI25" s="1">
        <v>1.0</v>
      </c>
      <c r="BJ25" s="16">
        <v>1.0</v>
      </c>
      <c r="BK25" s="19"/>
      <c r="BL25" s="1">
        <v>1.0</v>
      </c>
      <c r="BM25" s="16">
        <v>1.0</v>
      </c>
      <c r="BN25" s="19"/>
      <c r="BO25" s="1">
        <v>1.0</v>
      </c>
      <c r="BP25" s="16">
        <v>1.0</v>
      </c>
      <c r="BQ25" s="19"/>
      <c r="BR25" s="2">
        <v>2.0</v>
      </c>
      <c r="BS25" s="16">
        <v>1.0</v>
      </c>
      <c r="BT25" s="19"/>
      <c r="BU25" s="1">
        <v>1.0</v>
      </c>
      <c r="BV25" s="16">
        <v>1.0</v>
      </c>
      <c r="BW25" s="19"/>
      <c r="BX25" s="1">
        <v>1.0</v>
      </c>
      <c r="BY25" s="16">
        <v>1.0</v>
      </c>
      <c r="BZ25" s="19"/>
      <c r="CA25" s="1">
        <v>1.0</v>
      </c>
      <c r="CB25" s="16">
        <v>1.0</v>
      </c>
      <c r="CC25" s="19"/>
      <c r="CD25" s="1">
        <v>1.0</v>
      </c>
      <c r="CE25" s="16">
        <v>1.0</v>
      </c>
      <c r="CF25" s="19"/>
      <c r="CG25" s="1">
        <v>1.0</v>
      </c>
      <c r="CH25" s="16">
        <v>1.0</v>
      </c>
      <c r="CI25" s="16"/>
      <c r="CJ25" s="19"/>
      <c r="CK25" s="1">
        <v>1.0</v>
      </c>
      <c r="CL25" s="16">
        <v>1.0</v>
      </c>
      <c r="CM25" s="1" t="str">
        <f t="shared" si="85"/>
        <v>OK</v>
      </c>
      <c r="CN25" s="19"/>
      <c r="CO25" s="2">
        <v>2.0</v>
      </c>
      <c r="CP25" s="16">
        <v>1.0</v>
      </c>
    </row>
    <row r="26" ht="21.75" customHeight="1">
      <c r="A26" s="2" t="s">
        <v>64</v>
      </c>
      <c r="B26" s="2">
        <v>306.0</v>
      </c>
      <c r="C26" s="2" t="s">
        <v>15</v>
      </c>
      <c r="D26" s="17">
        <f>IFERROR(__xludf.DUMMYFUNCTION("""COMPUTED_VALUE"""),371.5939521588689)</f>
        <v>371.5939522</v>
      </c>
      <c r="E26" s="1"/>
      <c r="F26" s="2" t="s">
        <v>65</v>
      </c>
      <c r="G26" s="4" t="s">
        <v>25</v>
      </c>
      <c r="H26" s="2">
        <f t="shared" si="86"/>
        <v>70</v>
      </c>
      <c r="I26" s="2"/>
      <c r="J26" s="2"/>
      <c r="K26" s="2">
        <v>1.0</v>
      </c>
      <c r="L26" s="2">
        <v>0.5</v>
      </c>
      <c r="M26" s="2">
        <v>1.0</v>
      </c>
      <c r="N26" s="2">
        <v>1.0</v>
      </c>
      <c r="O26" s="2">
        <v>0.5</v>
      </c>
      <c r="P26" s="2">
        <v>1.0</v>
      </c>
      <c r="Q26" s="2">
        <v>1.0</v>
      </c>
      <c r="R26" s="2">
        <v>0.5</v>
      </c>
      <c r="S26" s="2">
        <v>1.0</v>
      </c>
      <c r="T26" s="2">
        <v>1.0</v>
      </c>
      <c r="U26" s="2">
        <v>0.5</v>
      </c>
      <c r="V26" s="2">
        <v>1.0</v>
      </c>
      <c r="W26" s="2">
        <v>1.0</v>
      </c>
      <c r="X26" s="2">
        <v>0.5</v>
      </c>
      <c r="Y26" s="2">
        <v>1.0</v>
      </c>
      <c r="Z26" s="2">
        <v>1.0</v>
      </c>
      <c r="AA26" s="2">
        <v>0.5</v>
      </c>
      <c r="AB26" s="2">
        <v>2.0</v>
      </c>
      <c r="AC26" s="2">
        <v>1.0</v>
      </c>
      <c r="AD26" s="2">
        <v>0.5</v>
      </c>
      <c r="AE26" s="2">
        <v>1.0</v>
      </c>
      <c r="AF26" s="2">
        <v>1.0</v>
      </c>
      <c r="AG26" s="2">
        <v>0.5</v>
      </c>
      <c r="AH26" s="2">
        <v>1.0</v>
      </c>
      <c r="AI26" s="2">
        <v>1.0</v>
      </c>
      <c r="AJ26" s="2">
        <v>0.5</v>
      </c>
      <c r="AK26" s="2">
        <v>1.0</v>
      </c>
      <c r="AL26" s="2">
        <v>1.0</v>
      </c>
      <c r="AM26" s="2">
        <v>0.5</v>
      </c>
      <c r="AN26" s="2">
        <v>1.0</v>
      </c>
      <c r="AO26" s="2">
        <v>1.0</v>
      </c>
      <c r="AP26" s="2">
        <v>0.5</v>
      </c>
      <c r="AQ26" s="2">
        <v>1.0</v>
      </c>
      <c r="AR26" s="2">
        <v>1.0</v>
      </c>
      <c r="AS26" s="2">
        <v>0.5</v>
      </c>
      <c r="AT26" s="2">
        <v>1.0</v>
      </c>
      <c r="AU26" s="2">
        <v>1.0</v>
      </c>
      <c r="AV26" s="2">
        <v>0.5</v>
      </c>
      <c r="AW26" s="2">
        <v>1.0</v>
      </c>
      <c r="AX26" s="2">
        <v>1.0</v>
      </c>
      <c r="AY26" s="2">
        <v>0.5</v>
      </c>
      <c r="AZ26" s="2">
        <v>1.0</v>
      </c>
      <c r="BA26" s="2">
        <v>1.0</v>
      </c>
      <c r="BB26" s="1">
        <v>0.5</v>
      </c>
      <c r="BC26" s="1">
        <v>1.0</v>
      </c>
      <c r="BD26" s="19"/>
      <c r="BE26" s="1">
        <v>0.5</v>
      </c>
      <c r="BF26" s="1">
        <v>1.0</v>
      </c>
      <c r="BG26" s="16">
        <v>1.0</v>
      </c>
      <c r="BH26" s="1">
        <v>0.5</v>
      </c>
      <c r="BI26" s="1">
        <v>1.0</v>
      </c>
      <c r="BJ26" s="16">
        <v>1.0</v>
      </c>
      <c r="BK26" s="1"/>
      <c r="BL26" s="1">
        <v>1.0</v>
      </c>
      <c r="BM26" s="16">
        <v>1.0</v>
      </c>
      <c r="BN26" s="1">
        <v>0.5</v>
      </c>
      <c r="BO26" s="1">
        <v>1.0</v>
      </c>
      <c r="BP26" s="16">
        <v>1.0</v>
      </c>
      <c r="BQ26" s="1">
        <v>0.5</v>
      </c>
      <c r="BR26" s="2">
        <v>2.0</v>
      </c>
      <c r="BS26" s="16">
        <v>1.0</v>
      </c>
      <c r="BT26" s="1">
        <v>0.5</v>
      </c>
      <c r="BU26" s="1">
        <v>1.0</v>
      </c>
      <c r="BV26" s="16">
        <v>1.0</v>
      </c>
      <c r="BW26" s="1">
        <v>0.5</v>
      </c>
      <c r="BX26" s="1">
        <v>1.0</v>
      </c>
      <c r="BY26" s="16">
        <v>1.0</v>
      </c>
      <c r="BZ26" s="1">
        <v>0.5</v>
      </c>
      <c r="CA26" s="1">
        <v>1.0</v>
      </c>
      <c r="CB26" s="16">
        <v>1.0</v>
      </c>
      <c r="CC26" s="1">
        <v>0.5</v>
      </c>
      <c r="CD26" s="1">
        <v>1.0</v>
      </c>
      <c r="CE26" s="16">
        <v>1.0</v>
      </c>
      <c r="CF26" s="1">
        <v>0.5</v>
      </c>
      <c r="CG26" s="1">
        <v>1.0</v>
      </c>
      <c r="CH26" s="16">
        <v>1.0</v>
      </c>
      <c r="CI26" s="16"/>
      <c r="CJ26" s="1">
        <v>0.5</v>
      </c>
      <c r="CK26" s="1">
        <v>1.0</v>
      </c>
      <c r="CL26" s="16">
        <v>1.0</v>
      </c>
      <c r="CM26" s="1" t="str">
        <f t="shared" si="85"/>
        <v>OK</v>
      </c>
      <c r="CN26" s="1">
        <v>0.5</v>
      </c>
      <c r="CO26" s="2">
        <v>2.0</v>
      </c>
      <c r="CP26" s="16">
        <v>1.0</v>
      </c>
    </row>
    <row r="27" ht="21.75" customHeight="1">
      <c r="A27" s="2" t="s">
        <v>66</v>
      </c>
      <c r="B27" s="2">
        <v>306.0</v>
      </c>
      <c r="C27" s="2" t="s">
        <v>39</v>
      </c>
      <c r="D27" s="17">
        <f>IFERROR(__xludf.DUMMYFUNCTION("""COMPUTED_VALUE"""),400.6794042425154)</f>
        <v>400.6794042</v>
      </c>
      <c r="E27" s="1"/>
      <c r="F27" s="2" t="s">
        <v>42</v>
      </c>
      <c r="G27" s="18" t="s">
        <v>67</v>
      </c>
      <c r="H27" s="2">
        <f t="shared" si="86"/>
        <v>56.5</v>
      </c>
      <c r="I27" s="2"/>
      <c r="J27" s="2"/>
      <c r="K27" s="2">
        <v>1.0</v>
      </c>
      <c r="L27" s="2"/>
      <c r="M27" s="2">
        <v>1.0</v>
      </c>
      <c r="N27" s="2">
        <v>1.0</v>
      </c>
      <c r="O27" s="2"/>
      <c r="P27" s="2">
        <v>1.0</v>
      </c>
      <c r="Q27" s="2">
        <v>1.0</v>
      </c>
      <c r="R27" s="2"/>
      <c r="S27" s="2">
        <v>1.0</v>
      </c>
      <c r="T27" s="2">
        <v>1.0</v>
      </c>
      <c r="U27" s="2"/>
      <c r="V27" s="2">
        <v>1.0</v>
      </c>
      <c r="W27" s="2">
        <v>1.0</v>
      </c>
      <c r="X27" s="2"/>
      <c r="Y27" s="2">
        <v>1.0</v>
      </c>
      <c r="Z27" s="2">
        <v>1.0</v>
      </c>
      <c r="AA27" s="2"/>
      <c r="AB27" s="2">
        <v>2.0</v>
      </c>
      <c r="AC27" s="2">
        <v>1.0</v>
      </c>
      <c r="AD27" s="2"/>
      <c r="AE27" s="2">
        <v>1.0</v>
      </c>
      <c r="AF27" s="2">
        <v>1.0</v>
      </c>
      <c r="AG27" s="2"/>
      <c r="AH27" s="2">
        <v>1.0</v>
      </c>
      <c r="AI27" s="2">
        <v>1.0</v>
      </c>
      <c r="AJ27" s="2"/>
      <c r="AK27" s="2">
        <v>1.0</v>
      </c>
      <c r="AL27" s="2">
        <v>1.0</v>
      </c>
      <c r="AM27" s="2"/>
      <c r="AN27" s="2">
        <v>1.0</v>
      </c>
      <c r="AO27" s="2">
        <v>1.0</v>
      </c>
      <c r="AP27" s="2"/>
      <c r="AQ27" s="2">
        <v>1.0</v>
      </c>
      <c r="AR27" s="2">
        <v>1.0</v>
      </c>
      <c r="AS27" s="2">
        <v>0.5</v>
      </c>
      <c r="AT27" s="2">
        <v>1.0</v>
      </c>
      <c r="AU27" s="2">
        <v>1.0</v>
      </c>
      <c r="AV27" s="2"/>
      <c r="AW27" s="2">
        <v>1.0</v>
      </c>
      <c r="AX27" s="2">
        <v>1.0</v>
      </c>
      <c r="AY27" s="2"/>
      <c r="AZ27" s="2">
        <v>1.0</v>
      </c>
      <c r="BA27" s="2">
        <v>1.0</v>
      </c>
      <c r="BB27" s="19"/>
      <c r="BC27" s="1">
        <v>1.0</v>
      </c>
      <c r="BD27" s="19"/>
      <c r="BE27" s="19"/>
      <c r="BF27" s="1">
        <v>1.0</v>
      </c>
      <c r="BG27" s="16">
        <v>1.0</v>
      </c>
      <c r="BH27" s="19"/>
      <c r="BI27" s="1">
        <v>1.0</v>
      </c>
      <c r="BJ27" s="16">
        <v>1.0</v>
      </c>
      <c r="BK27" s="19"/>
      <c r="BL27" s="1"/>
      <c r="BM27" s="16">
        <v>1.0</v>
      </c>
      <c r="BN27" s="19"/>
      <c r="BO27" s="2">
        <v>1.0</v>
      </c>
      <c r="BP27" s="16">
        <v>1.0</v>
      </c>
      <c r="BQ27" s="19"/>
      <c r="BR27" s="2">
        <v>2.0</v>
      </c>
      <c r="BS27" s="16">
        <v>1.0</v>
      </c>
      <c r="BT27" s="19"/>
      <c r="BU27" s="2">
        <v>1.0</v>
      </c>
      <c r="BV27" s="16">
        <v>1.0</v>
      </c>
      <c r="BW27" s="19"/>
      <c r="BX27" s="2">
        <v>1.0</v>
      </c>
      <c r="BY27" s="16">
        <v>1.0</v>
      </c>
      <c r="BZ27" s="19"/>
      <c r="CA27" s="2">
        <v>1.0</v>
      </c>
      <c r="CB27" s="16">
        <v>1.0</v>
      </c>
      <c r="CC27" s="19"/>
      <c r="CD27" s="2">
        <v>1.0</v>
      </c>
      <c r="CE27" s="16">
        <v>1.0</v>
      </c>
      <c r="CF27" s="19"/>
      <c r="CG27" s="2">
        <v>1.0</v>
      </c>
      <c r="CH27" s="16">
        <v>1.0</v>
      </c>
      <c r="CI27" s="16"/>
      <c r="CJ27" s="19"/>
      <c r="CK27" s="2">
        <v>1.0</v>
      </c>
      <c r="CL27" s="16">
        <v>1.0</v>
      </c>
      <c r="CM27" s="1" t="str">
        <f t="shared" si="85"/>
        <v>OK</v>
      </c>
      <c r="CN27" s="19"/>
      <c r="CO27" s="2">
        <v>2.0</v>
      </c>
      <c r="CP27" s="16">
        <v>1.0</v>
      </c>
    </row>
    <row r="28" ht="21.75" customHeight="1">
      <c r="A28" s="2" t="s">
        <v>68</v>
      </c>
      <c r="B28" s="2">
        <v>307.0</v>
      </c>
      <c r="C28" s="2" t="s">
        <v>69</v>
      </c>
      <c r="D28" s="17">
        <f>IFERROR(__xludf.DUMMYFUNCTION("""COMPUTED_VALUE"""),1368.9563712953213)</f>
        <v>1368.956371</v>
      </c>
      <c r="E28" s="1"/>
      <c r="F28" s="2" t="s">
        <v>70</v>
      </c>
      <c r="G28" s="4" t="s">
        <v>25</v>
      </c>
      <c r="H28" s="2">
        <f t="shared" si="86"/>
        <v>42</v>
      </c>
      <c r="I28" s="2"/>
      <c r="J28" s="2"/>
      <c r="K28" s="2"/>
      <c r="L28" s="2">
        <v>0.5</v>
      </c>
      <c r="M28" s="2">
        <v>1.0</v>
      </c>
      <c r="N28" s="2"/>
      <c r="O28" s="2">
        <v>0.5</v>
      </c>
      <c r="P28" s="2">
        <v>1.0</v>
      </c>
      <c r="Q28" s="2"/>
      <c r="R28" s="2">
        <v>0.5</v>
      </c>
      <c r="S28" s="2">
        <v>1.0</v>
      </c>
      <c r="T28" s="2"/>
      <c r="U28" s="2">
        <v>0.5</v>
      </c>
      <c r="V28" s="2">
        <v>1.0</v>
      </c>
      <c r="W28" s="2"/>
      <c r="X28" s="2">
        <v>0.5</v>
      </c>
      <c r="Y28" s="2">
        <v>1.0</v>
      </c>
      <c r="Z28" s="2"/>
      <c r="AA28" s="2">
        <v>0.5</v>
      </c>
      <c r="AB28" s="2">
        <v>2.0</v>
      </c>
      <c r="AC28" s="2"/>
      <c r="AD28" s="2">
        <v>0.5</v>
      </c>
      <c r="AE28" s="2">
        <v>1.0</v>
      </c>
      <c r="AF28" s="2"/>
      <c r="AG28" s="2">
        <v>0.5</v>
      </c>
      <c r="AH28" s="2">
        <v>1.0</v>
      </c>
      <c r="AI28" s="2"/>
      <c r="AJ28" s="2">
        <v>0.5</v>
      </c>
      <c r="AK28" s="2">
        <v>1.0</v>
      </c>
      <c r="AL28" s="2"/>
      <c r="AM28" s="2"/>
      <c r="AN28" s="2"/>
      <c r="AO28" s="2"/>
      <c r="AP28" s="2"/>
      <c r="AQ28" s="2"/>
      <c r="AR28" s="2">
        <v>1.0</v>
      </c>
      <c r="AS28" s="2">
        <v>0.5</v>
      </c>
      <c r="AT28" s="2">
        <v>1.0</v>
      </c>
      <c r="AU28" s="2"/>
      <c r="AV28" s="2">
        <v>0.5</v>
      </c>
      <c r="AW28" s="2">
        <v>1.0</v>
      </c>
      <c r="AX28" s="2"/>
      <c r="AY28" s="2">
        <v>0.5</v>
      </c>
      <c r="AZ28" s="2">
        <v>1.0</v>
      </c>
      <c r="BA28" s="2"/>
      <c r="BB28" s="1">
        <v>0.5</v>
      </c>
      <c r="BC28" s="1">
        <v>1.0</v>
      </c>
      <c r="BD28" s="19"/>
      <c r="BE28" s="1">
        <v>0.5</v>
      </c>
      <c r="BF28" s="1">
        <v>1.0</v>
      </c>
      <c r="BG28" s="19"/>
      <c r="BH28" s="1">
        <v>0.5</v>
      </c>
      <c r="BI28" s="1">
        <v>1.0</v>
      </c>
      <c r="BJ28" s="19"/>
      <c r="BK28" s="1"/>
      <c r="BL28" s="1">
        <v>1.0</v>
      </c>
      <c r="BM28" s="19"/>
      <c r="BN28" s="1">
        <v>0.5</v>
      </c>
      <c r="BO28" s="1">
        <v>1.0</v>
      </c>
      <c r="BP28" s="19"/>
      <c r="BQ28" s="1">
        <v>0.5</v>
      </c>
      <c r="BR28" s="2">
        <v>2.0</v>
      </c>
      <c r="BS28" s="19"/>
      <c r="BT28" s="1">
        <v>0.5</v>
      </c>
      <c r="BU28" s="1">
        <v>1.0</v>
      </c>
      <c r="BV28" s="19"/>
      <c r="BW28" s="1">
        <v>0.5</v>
      </c>
      <c r="BX28" s="1">
        <v>1.0</v>
      </c>
      <c r="BY28" s="19"/>
      <c r="BZ28" s="1">
        <v>0.5</v>
      </c>
      <c r="CA28" s="1">
        <v>1.0</v>
      </c>
      <c r="CB28" s="19"/>
      <c r="CC28" s="1">
        <v>0.5</v>
      </c>
      <c r="CD28" s="1">
        <v>1.0</v>
      </c>
      <c r="CE28" s="19"/>
      <c r="CF28" s="1">
        <v>0.5</v>
      </c>
      <c r="CG28" s="1">
        <v>1.0</v>
      </c>
      <c r="CH28" s="19"/>
      <c r="CI28" s="19"/>
      <c r="CJ28" s="1">
        <v>0.5</v>
      </c>
      <c r="CK28" s="1">
        <v>1.0</v>
      </c>
      <c r="CL28" s="16">
        <v>1.0</v>
      </c>
      <c r="CM28" s="1" t="str">
        <f t="shared" si="85"/>
        <v>OK</v>
      </c>
      <c r="CN28" s="1">
        <v>0.5</v>
      </c>
      <c r="CO28" s="2">
        <v>2.0</v>
      </c>
      <c r="CP28" s="16"/>
    </row>
    <row r="29" ht="21.75" customHeight="1">
      <c r="A29" s="2" t="s">
        <v>71</v>
      </c>
      <c r="B29" s="2">
        <v>307.0</v>
      </c>
      <c r="C29" s="2" t="s">
        <v>39</v>
      </c>
      <c r="D29" s="17">
        <f>IFERROR(__xludf.DUMMYFUNCTION("""COMPUTED_VALUE"""),135.8284940574697)</f>
        <v>135.8284941</v>
      </c>
      <c r="E29" s="1"/>
      <c r="F29" s="2" t="s">
        <v>72</v>
      </c>
      <c r="G29" s="18" t="s">
        <v>31</v>
      </c>
      <c r="H29" s="2">
        <f t="shared" si="86"/>
        <v>50.5</v>
      </c>
      <c r="I29" s="2"/>
      <c r="J29" s="2"/>
      <c r="K29" s="2">
        <v>1.0</v>
      </c>
      <c r="L29" s="2"/>
      <c r="M29" s="2">
        <v>1.0</v>
      </c>
      <c r="N29" s="2">
        <v>1.0</v>
      </c>
      <c r="O29" s="2"/>
      <c r="P29" s="2">
        <v>1.0</v>
      </c>
      <c r="Q29" s="2">
        <v>1.0</v>
      </c>
      <c r="R29" s="2"/>
      <c r="S29" s="2">
        <v>1.0</v>
      </c>
      <c r="T29" s="2">
        <v>1.0</v>
      </c>
      <c r="U29" s="2"/>
      <c r="V29" s="2">
        <v>1.0</v>
      </c>
      <c r="W29" s="2">
        <v>1.0</v>
      </c>
      <c r="X29" s="2"/>
      <c r="Y29" s="2">
        <v>1.0</v>
      </c>
      <c r="Z29" s="2">
        <v>1.0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>
        <v>1.0</v>
      </c>
      <c r="AL29" s="2">
        <v>1.0</v>
      </c>
      <c r="AM29" s="2"/>
      <c r="AN29" s="2">
        <v>1.0</v>
      </c>
      <c r="AO29" s="2">
        <v>1.0</v>
      </c>
      <c r="AP29" s="2"/>
      <c r="AQ29" s="2">
        <v>1.0</v>
      </c>
      <c r="AR29" s="2">
        <v>1.0</v>
      </c>
      <c r="AS29" s="2">
        <v>0.5</v>
      </c>
      <c r="AT29" s="2">
        <v>1.0</v>
      </c>
      <c r="AU29" s="2">
        <v>1.0</v>
      </c>
      <c r="AV29" s="2"/>
      <c r="AW29" s="2">
        <v>1.0</v>
      </c>
      <c r="AX29" s="2">
        <v>1.0</v>
      </c>
      <c r="AY29" s="2"/>
      <c r="AZ29" s="2">
        <v>1.0</v>
      </c>
      <c r="BA29" s="2">
        <v>1.0</v>
      </c>
      <c r="BB29" s="19"/>
      <c r="BC29" s="1">
        <v>1.0</v>
      </c>
      <c r="BD29" s="19"/>
      <c r="BE29" s="19"/>
      <c r="BF29" s="1">
        <v>1.0</v>
      </c>
      <c r="BG29" s="16">
        <v>1.0</v>
      </c>
      <c r="BH29" s="19"/>
      <c r="BI29" s="1">
        <v>1.0</v>
      </c>
      <c r="BJ29" s="16">
        <v>1.0</v>
      </c>
      <c r="BK29" s="19"/>
      <c r="BL29" s="1">
        <v>1.0</v>
      </c>
      <c r="BM29" s="16">
        <v>1.0</v>
      </c>
      <c r="BN29" s="19"/>
      <c r="BO29" s="1">
        <v>1.0</v>
      </c>
      <c r="BP29" s="16">
        <v>1.0</v>
      </c>
      <c r="BQ29" s="19"/>
      <c r="BR29" s="2">
        <v>2.0</v>
      </c>
      <c r="BS29" s="16">
        <v>1.0</v>
      </c>
      <c r="BT29" s="19"/>
      <c r="BU29" s="1">
        <v>1.0</v>
      </c>
      <c r="BV29" s="16">
        <v>1.0</v>
      </c>
      <c r="BW29" s="19"/>
      <c r="BX29" s="1">
        <v>1.0</v>
      </c>
      <c r="BY29" s="16">
        <v>1.0</v>
      </c>
      <c r="BZ29" s="19"/>
      <c r="CA29" s="1">
        <v>1.0</v>
      </c>
      <c r="CB29" s="16">
        <v>1.0</v>
      </c>
      <c r="CC29" s="19"/>
      <c r="CD29" s="1">
        <v>1.0</v>
      </c>
      <c r="CE29" s="16">
        <v>1.0</v>
      </c>
      <c r="CF29" s="19"/>
      <c r="CG29" s="1">
        <v>1.0</v>
      </c>
      <c r="CH29" s="16">
        <v>1.0</v>
      </c>
      <c r="CI29" s="16"/>
      <c r="CJ29" s="19"/>
      <c r="CK29" s="1">
        <v>1.0</v>
      </c>
      <c r="CL29" s="16">
        <v>1.0</v>
      </c>
      <c r="CM29" s="1" t="str">
        <f t="shared" si="85"/>
        <v>OK</v>
      </c>
      <c r="CN29" s="19"/>
      <c r="CO29" s="2">
        <v>2.0</v>
      </c>
      <c r="CP29" s="16">
        <v>1.0</v>
      </c>
    </row>
    <row r="30" ht="21.75" customHeight="1">
      <c r="A30" s="2" t="s">
        <v>73</v>
      </c>
      <c r="B30" s="2">
        <v>308.0</v>
      </c>
      <c r="C30" s="2" t="s">
        <v>39</v>
      </c>
      <c r="D30" s="17">
        <f>IFERROR(__xludf.DUMMYFUNCTION("""COMPUTED_VALUE"""),76.63697908831068)</f>
        <v>76.63697909</v>
      </c>
      <c r="E30" s="1"/>
      <c r="F30" s="2" t="s">
        <v>74</v>
      </c>
      <c r="G30" s="18" t="s">
        <v>75</v>
      </c>
      <c r="H30" s="2">
        <f t="shared" si="86"/>
        <v>51.5</v>
      </c>
      <c r="I30" s="2"/>
      <c r="J30" s="2"/>
      <c r="K30" s="2">
        <v>1.0</v>
      </c>
      <c r="L30" s="2"/>
      <c r="M30" s="2">
        <v>1.0</v>
      </c>
      <c r="N30" s="2">
        <v>1.0</v>
      </c>
      <c r="O30" s="2"/>
      <c r="P30" s="2">
        <v>1.0</v>
      </c>
      <c r="Q30" s="2">
        <v>1.0</v>
      </c>
      <c r="R30" s="2"/>
      <c r="S30" s="2">
        <v>1.0</v>
      </c>
      <c r="T30" s="2">
        <v>1.0</v>
      </c>
      <c r="U30" s="2"/>
      <c r="V30" s="2">
        <v>1.0</v>
      </c>
      <c r="W30" s="2">
        <v>1.0</v>
      </c>
      <c r="X30" s="2"/>
      <c r="Y30" s="2">
        <v>1.0</v>
      </c>
      <c r="Z30" s="2">
        <v>1.0</v>
      </c>
      <c r="AA30" s="2"/>
      <c r="AB30" s="2">
        <v>2.0</v>
      </c>
      <c r="AC30" s="2"/>
      <c r="AD30" s="2"/>
      <c r="AE30" s="2">
        <v>1.0</v>
      </c>
      <c r="AF30" s="2">
        <v>1.0</v>
      </c>
      <c r="AG30" s="2"/>
      <c r="AH30" s="2">
        <v>1.0</v>
      </c>
      <c r="AI30" s="2">
        <v>1.0</v>
      </c>
      <c r="AJ30" s="2"/>
      <c r="AK30" s="2">
        <v>1.0</v>
      </c>
      <c r="AL30" s="2">
        <v>1.0</v>
      </c>
      <c r="AM30" s="2"/>
      <c r="AN30" s="2">
        <v>1.0</v>
      </c>
      <c r="AO30" s="2">
        <v>1.0</v>
      </c>
      <c r="AP30" s="2"/>
      <c r="AQ30" s="2">
        <v>1.0</v>
      </c>
      <c r="AR30" s="2">
        <v>1.0</v>
      </c>
      <c r="AS30" s="2">
        <v>0.5</v>
      </c>
      <c r="AT30" s="2">
        <v>1.0</v>
      </c>
      <c r="AU30" s="2">
        <v>1.0</v>
      </c>
      <c r="AV30" s="2"/>
      <c r="AW30" s="2">
        <v>1.0</v>
      </c>
      <c r="AX30" s="2">
        <v>1.0</v>
      </c>
      <c r="AY30" s="2"/>
      <c r="AZ30" s="2">
        <v>1.0</v>
      </c>
      <c r="BA30" s="2">
        <v>1.0</v>
      </c>
      <c r="BB30" s="19"/>
      <c r="BC30" s="1">
        <v>1.0</v>
      </c>
      <c r="BD30" s="19"/>
      <c r="BE30" s="19"/>
      <c r="BF30" s="1">
        <v>1.0</v>
      </c>
      <c r="BG30" s="16">
        <v>1.0</v>
      </c>
      <c r="BH30" s="19"/>
      <c r="BI30" s="1">
        <v>1.0</v>
      </c>
      <c r="BJ30" s="16">
        <v>1.0</v>
      </c>
      <c r="BK30" s="19"/>
      <c r="BL30" s="1">
        <v>1.0</v>
      </c>
      <c r="BM30" s="16">
        <v>1.0</v>
      </c>
      <c r="BN30" s="19"/>
      <c r="BO30" s="1"/>
      <c r="BP30" s="16"/>
      <c r="BQ30" s="19"/>
      <c r="BR30" s="2">
        <v>2.0</v>
      </c>
      <c r="BS30" s="16">
        <v>1.0</v>
      </c>
      <c r="BT30" s="19"/>
      <c r="BU30" s="1"/>
      <c r="BV30" s="16"/>
      <c r="BW30" s="19"/>
      <c r="BX30" s="2">
        <v>1.0</v>
      </c>
      <c r="BY30" s="16">
        <v>1.0</v>
      </c>
      <c r="BZ30" s="19"/>
      <c r="CA30" s="2">
        <v>1.0</v>
      </c>
      <c r="CB30" s="16">
        <v>1.0</v>
      </c>
      <c r="CC30" s="19"/>
      <c r="CD30" s="2">
        <v>1.0</v>
      </c>
      <c r="CE30" s="16">
        <v>1.0</v>
      </c>
      <c r="CF30" s="19"/>
      <c r="CG30" s="2">
        <v>1.0</v>
      </c>
      <c r="CH30" s="16">
        <v>1.0</v>
      </c>
      <c r="CI30" s="16"/>
      <c r="CJ30" s="19"/>
      <c r="CK30" s="2">
        <v>1.0</v>
      </c>
      <c r="CL30" s="16"/>
      <c r="CM30" s="1" t="str">
        <f t="shared" si="85"/>
        <v>OK</v>
      </c>
      <c r="CN30" s="19"/>
      <c r="CO30" s="2">
        <v>2.0</v>
      </c>
      <c r="CP30" s="16">
        <v>1.0</v>
      </c>
    </row>
    <row r="31" ht="21.75" customHeight="1">
      <c r="A31" s="2" t="s">
        <v>76</v>
      </c>
      <c r="B31" s="2">
        <v>401.0</v>
      </c>
      <c r="C31" s="2" t="s">
        <v>15</v>
      </c>
      <c r="D31" s="17">
        <f>IFERROR(__xludf.DUMMYFUNCTION("""COMPUTED_VALUE"""),106.74304197382298)</f>
        <v>106.743042</v>
      </c>
      <c r="E31" s="1"/>
      <c r="F31" s="2" t="s">
        <v>77</v>
      </c>
      <c r="G31" s="18" t="s">
        <v>78</v>
      </c>
      <c r="H31" s="2">
        <f t="shared" si="86"/>
        <v>64</v>
      </c>
      <c r="I31" s="2"/>
      <c r="J31" s="2"/>
      <c r="K31" s="2"/>
      <c r="L31" s="2">
        <v>0.5</v>
      </c>
      <c r="M31" s="2">
        <v>1.0</v>
      </c>
      <c r="N31" s="2">
        <v>1.0</v>
      </c>
      <c r="O31" s="2">
        <v>0.5</v>
      </c>
      <c r="P31" s="2">
        <v>1.0</v>
      </c>
      <c r="Q31" s="2">
        <v>1.0</v>
      </c>
      <c r="R31" s="2">
        <v>0.5</v>
      </c>
      <c r="S31" s="2">
        <v>1.0</v>
      </c>
      <c r="T31" s="2">
        <v>1.0</v>
      </c>
      <c r="U31" s="2">
        <v>0.5</v>
      </c>
      <c r="V31" s="2">
        <v>0.5</v>
      </c>
      <c r="W31" s="2">
        <v>1.0</v>
      </c>
      <c r="X31" s="2">
        <v>0.5</v>
      </c>
      <c r="Y31" s="2">
        <v>0.5</v>
      </c>
      <c r="Z31" s="2">
        <v>1.0</v>
      </c>
      <c r="AA31" s="2">
        <v>0.5</v>
      </c>
      <c r="AB31" s="2">
        <v>2.0</v>
      </c>
      <c r="AC31" s="2">
        <v>1.0</v>
      </c>
      <c r="AD31" s="2">
        <v>0.5</v>
      </c>
      <c r="AE31" s="2">
        <v>1.0</v>
      </c>
      <c r="AF31" s="2">
        <v>1.0</v>
      </c>
      <c r="AG31" s="2">
        <v>0.5</v>
      </c>
      <c r="AH31" s="2">
        <v>1.0</v>
      </c>
      <c r="AI31" s="2">
        <v>1.0</v>
      </c>
      <c r="AJ31" s="2">
        <v>0.5</v>
      </c>
      <c r="AK31" s="2">
        <v>1.0</v>
      </c>
      <c r="AL31" s="2">
        <v>1.0</v>
      </c>
      <c r="AM31" s="2">
        <v>0.5</v>
      </c>
      <c r="AN31" s="2">
        <v>1.0</v>
      </c>
      <c r="AO31" s="2">
        <v>1.0</v>
      </c>
      <c r="AP31" s="2">
        <v>0.5</v>
      </c>
      <c r="AQ31" s="2">
        <v>1.0</v>
      </c>
      <c r="AR31" s="2">
        <v>1.0</v>
      </c>
      <c r="AS31" s="2">
        <v>0.5</v>
      </c>
      <c r="AT31" s="2">
        <v>1.0</v>
      </c>
      <c r="AU31" s="2">
        <v>1.0</v>
      </c>
      <c r="AV31" s="2">
        <v>0.5</v>
      </c>
      <c r="AW31" s="2">
        <v>1.0</v>
      </c>
      <c r="AX31" s="2">
        <v>1.0</v>
      </c>
      <c r="AY31" s="2"/>
      <c r="AZ31" s="2"/>
      <c r="BA31" s="2"/>
      <c r="BB31" s="1"/>
      <c r="BC31" s="1"/>
      <c r="BD31" s="1"/>
      <c r="BE31" s="1">
        <v>0.5</v>
      </c>
      <c r="BF31" s="1">
        <v>1.0</v>
      </c>
      <c r="BG31" s="1">
        <v>1.0</v>
      </c>
      <c r="BH31" s="1">
        <v>0.5</v>
      </c>
      <c r="BI31" s="1">
        <v>1.0</v>
      </c>
      <c r="BJ31" s="1">
        <v>1.0</v>
      </c>
      <c r="BK31" s="1"/>
      <c r="BL31" s="1">
        <v>1.0</v>
      </c>
      <c r="BM31" s="1">
        <v>1.0</v>
      </c>
      <c r="BN31" s="1">
        <v>0.5</v>
      </c>
      <c r="BO31" s="1">
        <v>1.0</v>
      </c>
      <c r="BP31" s="1">
        <v>1.0</v>
      </c>
      <c r="BQ31" s="1">
        <v>0.5</v>
      </c>
      <c r="BR31" s="2">
        <v>2.0</v>
      </c>
      <c r="BS31" s="1">
        <v>1.0</v>
      </c>
      <c r="BT31" s="1">
        <v>0.5</v>
      </c>
      <c r="BU31" s="1">
        <v>1.0</v>
      </c>
      <c r="BV31" s="1">
        <v>1.0</v>
      </c>
      <c r="BW31" s="1">
        <v>0.5</v>
      </c>
      <c r="BX31" s="1">
        <v>1.0</v>
      </c>
      <c r="BY31" s="1">
        <v>1.0</v>
      </c>
      <c r="BZ31" s="1">
        <v>0.5</v>
      </c>
      <c r="CA31" s="1">
        <v>1.0</v>
      </c>
      <c r="CB31" s="1">
        <v>1.0</v>
      </c>
      <c r="CC31" s="1">
        <v>0.5</v>
      </c>
      <c r="CD31" s="1">
        <v>1.0</v>
      </c>
      <c r="CE31" s="1">
        <v>1.0</v>
      </c>
      <c r="CF31" s="1">
        <v>0.5</v>
      </c>
      <c r="CG31" s="1">
        <v>1.0</v>
      </c>
      <c r="CH31" s="1">
        <v>1.0</v>
      </c>
      <c r="CI31" s="1"/>
      <c r="CJ31" s="1">
        <v>0.5</v>
      </c>
      <c r="CK31" s="1">
        <v>1.0</v>
      </c>
      <c r="CL31" s="2">
        <v>1.0</v>
      </c>
      <c r="CM31" s="1" t="str">
        <f t="shared" si="85"/>
        <v>OK</v>
      </c>
      <c r="CN31" s="1">
        <v>0.5</v>
      </c>
      <c r="CO31" s="2">
        <v>2.0</v>
      </c>
      <c r="CP31" s="1">
        <v>1.0</v>
      </c>
    </row>
    <row r="32" ht="21.75" customHeight="1">
      <c r="A32" s="2" t="s">
        <v>79</v>
      </c>
      <c r="B32" s="2">
        <v>402.0</v>
      </c>
      <c r="C32" s="2" t="s">
        <v>15</v>
      </c>
      <c r="D32" s="17">
        <f>IFERROR(__xludf.DUMMYFUNCTION("""COMPUTED_VALUE"""),400.6794042425154)</f>
        <v>400.6794042</v>
      </c>
      <c r="E32" s="2" t="s">
        <v>80</v>
      </c>
      <c r="F32" s="2" t="s">
        <v>81</v>
      </c>
      <c r="G32" s="18" t="s">
        <v>82</v>
      </c>
      <c r="H32" s="2">
        <f t="shared" si="86"/>
        <v>56.5</v>
      </c>
      <c r="I32" s="2"/>
      <c r="J32" s="2"/>
      <c r="K32" s="2">
        <v>1.0</v>
      </c>
      <c r="L32" s="2">
        <v>0.5</v>
      </c>
      <c r="M32" s="2">
        <v>1.0</v>
      </c>
      <c r="N32" s="2">
        <v>1.0</v>
      </c>
      <c r="O32" s="2">
        <v>0.5</v>
      </c>
      <c r="P32" s="2">
        <v>1.0</v>
      </c>
      <c r="Q32" s="2">
        <v>1.0</v>
      </c>
      <c r="R32" s="2">
        <v>0.5</v>
      </c>
      <c r="S32" s="2">
        <v>1.0</v>
      </c>
      <c r="T32" s="2">
        <v>1.0</v>
      </c>
      <c r="U32" s="2">
        <v>0.5</v>
      </c>
      <c r="V32" s="2">
        <v>1.0</v>
      </c>
      <c r="W32" s="2">
        <v>1.0</v>
      </c>
      <c r="X32" s="2">
        <v>0.5</v>
      </c>
      <c r="Y32" s="2">
        <v>1.0</v>
      </c>
      <c r="Z32" s="2">
        <v>1.0</v>
      </c>
      <c r="AA32" s="2">
        <v>0.5</v>
      </c>
      <c r="AB32" s="2">
        <v>2.0</v>
      </c>
      <c r="AC32" s="2">
        <v>1.0</v>
      </c>
      <c r="AD32" s="2"/>
      <c r="AE32" s="2"/>
      <c r="AF32" s="2">
        <v>1.0</v>
      </c>
      <c r="AG32" s="2">
        <v>0.5</v>
      </c>
      <c r="AH32" s="2">
        <v>1.0</v>
      </c>
      <c r="AI32" s="2">
        <v>1.0</v>
      </c>
      <c r="AJ32" s="2"/>
      <c r="AK32" s="2"/>
      <c r="AL32" s="2">
        <v>1.0</v>
      </c>
      <c r="AM32" s="2">
        <v>0.5</v>
      </c>
      <c r="AN32" s="2">
        <v>1.0</v>
      </c>
      <c r="AO32" s="2">
        <v>1.0</v>
      </c>
      <c r="AP32" s="2">
        <v>0.5</v>
      </c>
      <c r="AQ32" s="2">
        <v>1.0</v>
      </c>
      <c r="AR32" s="2"/>
      <c r="AS32" s="2"/>
      <c r="AT32" s="2">
        <v>1.0</v>
      </c>
      <c r="AU32" s="2">
        <v>1.0</v>
      </c>
      <c r="AV32" s="2"/>
      <c r="AW32" s="2"/>
      <c r="AX32" s="2"/>
      <c r="AY32" s="2"/>
      <c r="AZ32" s="2"/>
      <c r="BA32" s="2"/>
      <c r="BB32" s="19"/>
      <c r="BC32" s="19"/>
      <c r="BD32" s="19"/>
      <c r="BE32" s="16">
        <v>0.5</v>
      </c>
      <c r="BF32" s="16">
        <v>1.0</v>
      </c>
      <c r="BG32" s="16">
        <v>1.0</v>
      </c>
      <c r="BH32" s="16">
        <v>0.5</v>
      </c>
      <c r="BI32" s="16">
        <v>1.0</v>
      </c>
      <c r="BJ32" s="16">
        <v>1.0</v>
      </c>
      <c r="BK32" s="16"/>
      <c r="BL32" s="16">
        <v>1.0</v>
      </c>
      <c r="BM32" s="16">
        <v>1.0</v>
      </c>
      <c r="BN32" s="16"/>
      <c r="BO32" s="16">
        <v>1.0</v>
      </c>
      <c r="BP32" s="16">
        <v>1.0</v>
      </c>
      <c r="BQ32" s="16">
        <v>0.5</v>
      </c>
      <c r="BR32" s="16">
        <v>2.0</v>
      </c>
      <c r="BS32" s="16">
        <v>1.0</v>
      </c>
      <c r="BT32" s="16"/>
      <c r="BU32" s="16">
        <v>1.0</v>
      </c>
      <c r="BV32" s="16">
        <v>1.0</v>
      </c>
      <c r="BW32" s="16">
        <v>0.5</v>
      </c>
      <c r="BX32" s="16">
        <v>1.0</v>
      </c>
      <c r="BY32" s="16">
        <v>1.0</v>
      </c>
      <c r="BZ32" s="16"/>
      <c r="CA32" s="16"/>
      <c r="CB32" s="16">
        <v>1.0</v>
      </c>
      <c r="CC32" s="16">
        <v>0.5</v>
      </c>
      <c r="CD32" s="16">
        <v>1.0</v>
      </c>
      <c r="CE32" s="16">
        <v>1.0</v>
      </c>
      <c r="CF32" s="16">
        <v>0.5</v>
      </c>
      <c r="CG32" s="16">
        <v>1.0</v>
      </c>
      <c r="CH32" s="16">
        <v>1.0</v>
      </c>
      <c r="CI32" s="16"/>
      <c r="CJ32" s="16">
        <v>0.5</v>
      </c>
      <c r="CK32" s="16">
        <v>1.0</v>
      </c>
      <c r="CL32" s="16">
        <v>1.0</v>
      </c>
      <c r="CM32" s="1" t="str">
        <f t="shared" si="85"/>
        <v>OK</v>
      </c>
      <c r="CN32" s="16">
        <v>0.5</v>
      </c>
      <c r="CO32" s="16">
        <v>2.0</v>
      </c>
      <c r="CP32" s="16">
        <v>1.0</v>
      </c>
    </row>
    <row r="33" ht="21.75" customHeight="1">
      <c r="A33" s="2" t="s">
        <v>83</v>
      </c>
      <c r="B33" s="2">
        <v>402.0</v>
      </c>
      <c r="C33" s="2" t="s">
        <v>69</v>
      </c>
      <c r="D33" s="17">
        <f>IFERROR(__xludf.DUMMYFUNCTION("""COMPUTED_VALUE"""),439.87091921167485)</f>
        <v>439.8709192</v>
      </c>
      <c r="E33" s="1"/>
      <c r="F33" s="2">
        <v>3000.0</v>
      </c>
      <c r="G33" s="4" t="s">
        <v>25</v>
      </c>
      <c r="H33" s="2">
        <f t="shared" si="86"/>
        <v>55.5</v>
      </c>
      <c r="I33" s="2"/>
      <c r="J33" s="2"/>
      <c r="K33" s="2"/>
      <c r="L33" s="2">
        <v>0.5</v>
      </c>
      <c r="M33" s="2">
        <v>1.0</v>
      </c>
      <c r="N33" s="2">
        <v>1.0</v>
      </c>
      <c r="O33" s="2"/>
      <c r="P33" s="2">
        <v>1.0</v>
      </c>
      <c r="Q33" s="2">
        <v>1.0</v>
      </c>
      <c r="R33" s="2">
        <v>0.5</v>
      </c>
      <c r="S33" s="2">
        <v>1.0</v>
      </c>
      <c r="T33" s="2">
        <v>1.0</v>
      </c>
      <c r="U33" s="2">
        <v>0.5</v>
      </c>
      <c r="V33" s="2">
        <v>1.0</v>
      </c>
      <c r="W33" s="2">
        <v>1.0</v>
      </c>
      <c r="X33" s="2">
        <v>0.5</v>
      </c>
      <c r="Y33" s="2">
        <v>1.0</v>
      </c>
      <c r="Z33" s="2">
        <v>1.0</v>
      </c>
      <c r="AA33" s="2"/>
      <c r="AB33" s="2">
        <v>2.0</v>
      </c>
      <c r="AC33" s="2">
        <v>1.0</v>
      </c>
      <c r="AD33" s="2"/>
      <c r="AE33" s="2"/>
      <c r="AF33" s="2">
        <v>1.0</v>
      </c>
      <c r="AG33" s="2">
        <v>0.5</v>
      </c>
      <c r="AH33" s="2">
        <v>1.0</v>
      </c>
      <c r="AI33" s="2">
        <v>1.0</v>
      </c>
      <c r="AJ33" s="2"/>
      <c r="AK33" s="2">
        <v>1.0</v>
      </c>
      <c r="AL33" s="2">
        <v>1.0</v>
      </c>
      <c r="AM33" s="2">
        <v>0.5</v>
      </c>
      <c r="AN33" s="2">
        <v>1.0</v>
      </c>
      <c r="AO33" s="2">
        <v>1.0</v>
      </c>
      <c r="AP33" s="2">
        <v>0.5</v>
      </c>
      <c r="AQ33" s="2">
        <v>1.0</v>
      </c>
      <c r="AR33" s="2">
        <v>1.0</v>
      </c>
      <c r="AS33" s="2">
        <v>0.5</v>
      </c>
      <c r="AT33" s="2">
        <v>1.0</v>
      </c>
      <c r="AU33" s="2">
        <v>1.0</v>
      </c>
      <c r="AV33" s="2"/>
      <c r="AW33" s="2">
        <v>1.0</v>
      </c>
      <c r="AX33" s="2">
        <v>1.0</v>
      </c>
      <c r="AY33" s="2">
        <v>0.5</v>
      </c>
      <c r="AZ33" s="2"/>
      <c r="BA33" s="2">
        <v>1.0</v>
      </c>
      <c r="BB33" s="1">
        <v>0.5</v>
      </c>
      <c r="BC33" s="1">
        <v>1.0</v>
      </c>
      <c r="BD33" s="1">
        <v>1.0</v>
      </c>
      <c r="BE33" s="1">
        <v>0.5</v>
      </c>
      <c r="BF33" s="1">
        <v>1.0</v>
      </c>
      <c r="BG33" s="1">
        <v>1.0</v>
      </c>
      <c r="BH33" s="1">
        <v>0.5</v>
      </c>
      <c r="BI33" s="1">
        <v>1.0</v>
      </c>
      <c r="BJ33" s="1">
        <v>1.0</v>
      </c>
      <c r="BK33" s="1"/>
      <c r="BL33" s="1">
        <v>1.0</v>
      </c>
      <c r="BM33" s="2"/>
      <c r="BN33" s="1">
        <v>0.5</v>
      </c>
      <c r="BO33" s="1">
        <v>1.0</v>
      </c>
      <c r="BP33" s="2"/>
      <c r="BQ33" s="1">
        <v>0.5</v>
      </c>
      <c r="BR33" s="2">
        <v>2.0</v>
      </c>
      <c r="BS33" s="2"/>
      <c r="BT33" s="1">
        <v>0.5</v>
      </c>
      <c r="BU33" s="1">
        <v>1.0</v>
      </c>
      <c r="BV33" s="2"/>
      <c r="BW33" s="1">
        <v>0.5</v>
      </c>
      <c r="BX33" s="1">
        <v>1.0</v>
      </c>
      <c r="BY33" s="2"/>
      <c r="BZ33" s="1">
        <v>0.5</v>
      </c>
      <c r="CA33" s="1">
        <v>1.0</v>
      </c>
      <c r="CB33" s="2"/>
      <c r="CC33" s="1">
        <v>0.5</v>
      </c>
      <c r="CD33" s="1">
        <v>1.0</v>
      </c>
      <c r="CE33" s="2"/>
      <c r="CF33" s="1">
        <v>0.5</v>
      </c>
      <c r="CG33" s="1">
        <v>1.0</v>
      </c>
      <c r="CH33" s="2"/>
      <c r="CI33" s="2"/>
      <c r="CJ33" s="1">
        <v>0.5</v>
      </c>
      <c r="CK33" s="1">
        <v>1.0</v>
      </c>
      <c r="CL33" s="2"/>
      <c r="CM33" s="1" t="str">
        <f t="shared" si="85"/>
        <v>OK</v>
      </c>
      <c r="CN33" s="1">
        <v>0.5</v>
      </c>
      <c r="CO33" s="2">
        <v>2.0</v>
      </c>
      <c r="CP33" s="2"/>
    </row>
    <row r="34" ht="21.75" customHeight="1">
      <c r="A34" s="2" t="s">
        <v>84</v>
      </c>
      <c r="B34" s="2">
        <v>402.0</v>
      </c>
      <c r="C34" s="2" t="s">
        <v>15</v>
      </c>
      <c r="D34" s="17">
        <f>IFERROR(__xludf.DUMMYFUNCTION("""COMPUTED_VALUE"""),753.4030389649467)</f>
        <v>753.403039</v>
      </c>
      <c r="E34" s="1"/>
      <c r="F34" s="2" t="s">
        <v>42</v>
      </c>
      <c r="G34" s="18" t="s">
        <v>31</v>
      </c>
      <c r="H34" s="2">
        <f t="shared" si="86"/>
        <v>47.5</v>
      </c>
      <c r="I34" s="2"/>
      <c r="J34" s="2"/>
      <c r="K34" s="2"/>
      <c r="L34" s="2">
        <v>0.5</v>
      </c>
      <c r="M34" s="2">
        <v>1.0</v>
      </c>
      <c r="N34" s="2">
        <v>1.0</v>
      </c>
      <c r="O34" s="2">
        <v>0.5</v>
      </c>
      <c r="P34" s="2">
        <v>1.0</v>
      </c>
      <c r="Q34" s="2">
        <v>1.0</v>
      </c>
      <c r="R34" s="2">
        <v>0.5</v>
      </c>
      <c r="S34" s="2">
        <v>1.0</v>
      </c>
      <c r="T34" s="2">
        <v>1.0</v>
      </c>
      <c r="U34" s="2">
        <v>0.5</v>
      </c>
      <c r="V34" s="2">
        <v>1.0</v>
      </c>
      <c r="W34" s="2">
        <v>1.0</v>
      </c>
      <c r="X34" s="2">
        <v>0.5</v>
      </c>
      <c r="Y34" s="2">
        <v>1.0</v>
      </c>
      <c r="Z34" s="2">
        <v>1.0</v>
      </c>
      <c r="AA34" s="2">
        <v>0.5</v>
      </c>
      <c r="AB34" s="2"/>
      <c r="AC34" s="2"/>
      <c r="AD34" s="2"/>
      <c r="AE34" s="2">
        <v>1.0</v>
      </c>
      <c r="AF34" s="2">
        <v>1.0</v>
      </c>
      <c r="AG34" s="2">
        <v>0.5</v>
      </c>
      <c r="AH34" s="2">
        <v>1.0</v>
      </c>
      <c r="AI34" s="2">
        <v>1.0</v>
      </c>
      <c r="AJ34" s="2">
        <v>0.5</v>
      </c>
      <c r="AK34" s="2">
        <v>1.0</v>
      </c>
      <c r="AL34" s="2">
        <v>1.0</v>
      </c>
      <c r="AM34" s="2">
        <v>0.5</v>
      </c>
      <c r="AN34" s="2">
        <v>1.0</v>
      </c>
      <c r="AO34" s="2">
        <v>1.0</v>
      </c>
      <c r="AP34" s="2">
        <v>0.5</v>
      </c>
      <c r="AQ34" s="2"/>
      <c r="AR34" s="2">
        <v>1.0</v>
      </c>
      <c r="AS34" s="2">
        <v>0.5</v>
      </c>
      <c r="AT34" s="2">
        <v>1.0</v>
      </c>
      <c r="AU34" s="2">
        <v>1.0</v>
      </c>
      <c r="AV34" s="2"/>
      <c r="AW34" s="2"/>
      <c r="AX34" s="2"/>
      <c r="AY34" s="2">
        <v>0.5</v>
      </c>
      <c r="AZ34" s="2"/>
      <c r="BA34" s="2"/>
      <c r="BB34" s="19"/>
      <c r="BC34" s="19"/>
      <c r="BD34" s="19"/>
      <c r="BE34" s="16">
        <v>0.5</v>
      </c>
      <c r="BF34" s="16">
        <v>1.0</v>
      </c>
      <c r="BG34" s="16">
        <v>1.0</v>
      </c>
      <c r="BH34" s="16">
        <v>0.5</v>
      </c>
      <c r="BI34" s="16">
        <v>1.0</v>
      </c>
      <c r="BJ34" s="16">
        <v>1.0</v>
      </c>
      <c r="BK34" s="16"/>
      <c r="BL34" s="16">
        <v>1.0</v>
      </c>
      <c r="BM34" s="16">
        <v>1.0</v>
      </c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>
        <v>0.5</v>
      </c>
      <c r="CA34" s="16">
        <v>1.0</v>
      </c>
      <c r="CB34" s="16">
        <v>1.0</v>
      </c>
      <c r="CC34" s="16">
        <v>0.5</v>
      </c>
      <c r="CD34" s="16">
        <v>1.0</v>
      </c>
      <c r="CE34" s="16">
        <v>1.0</v>
      </c>
      <c r="CF34" s="16">
        <v>0.5</v>
      </c>
      <c r="CG34" s="16">
        <v>1.0</v>
      </c>
      <c r="CH34" s="16">
        <v>1.0</v>
      </c>
      <c r="CI34" s="16"/>
      <c r="CJ34" s="16">
        <v>0.5</v>
      </c>
      <c r="CK34" s="16">
        <v>1.0</v>
      </c>
      <c r="CL34" s="16">
        <v>1.0</v>
      </c>
      <c r="CM34" s="1" t="str">
        <f t="shared" si="85"/>
        <v>OK</v>
      </c>
      <c r="CN34" s="16">
        <v>0.5</v>
      </c>
      <c r="CO34" s="16">
        <v>2.0</v>
      </c>
      <c r="CP34" s="16">
        <v>1.0</v>
      </c>
    </row>
    <row r="35" ht="21.75" customHeight="1">
      <c r="A35" s="2" t="s">
        <v>85</v>
      </c>
      <c r="B35" s="2">
        <v>403.0</v>
      </c>
      <c r="C35" s="2" t="s">
        <v>15</v>
      </c>
      <c r="D35" s="17">
        <f>IFERROR(__xludf.DUMMYFUNCTION("""COMPUTED_VALUE"""),-56.08665563412069)</f>
        <v>-56.08665563</v>
      </c>
      <c r="E35" s="1"/>
      <c r="F35" s="2" t="s">
        <v>86</v>
      </c>
      <c r="G35" s="18" t="s">
        <v>87</v>
      </c>
      <c r="H35" s="2">
        <f t="shared" si="86"/>
        <v>60.5</v>
      </c>
      <c r="I35" s="2"/>
      <c r="J35" s="2"/>
      <c r="K35" s="2"/>
      <c r="L35" s="2">
        <v>0.5</v>
      </c>
      <c r="M35" s="2">
        <v>1.0</v>
      </c>
      <c r="N35" s="2">
        <v>1.0</v>
      </c>
      <c r="O35" s="2">
        <v>0.5</v>
      </c>
      <c r="P35" s="2">
        <v>1.0</v>
      </c>
      <c r="Q35" s="2">
        <v>1.0</v>
      </c>
      <c r="R35" s="2">
        <v>0.5</v>
      </c>
      <c r="S35" s="2"/>
      <c r="T35" s="2">
        <v>1.0</v>
      </c>
      <c r="U35" s="2">
        <v>0.5</v>
      </c>
      <c r="V35" s="2">
        <v>1.0</v>
      </c>
      <c r="W35" s="2">
        <v>1.0</v>
      </c>
      <c r="X35" s="2">
        <v>0.5</v>
      </c>
      <c r="Y35" s="2">
        <v>1.0</v>
      </c>
      <c r="Z35" s="2">
        <v>1.0</v>
      </c>
      <c r="AA35" s="2"/>
      <c r="AB35" s="2"/>
      <c r="AC35" s="2"/>
      <c r="AD35" s="2">
        <v>0.5</v>
      </c>
      <c r="AE35" s="2">
        <v>1.0</v>
      </c>
      <c r="AF35" s="2">
        <v>1.0</v>
      </c>
      <c r="AG35" s="2">
        <v>0.5</v>
      </c>
      <c r="AH35" s="2">
        <v>1.0</v>
      </c>
      <c r="AI35" s="2">
        <v>1.0</v>
      </c>
      <c r="AJ35" s="2">
        <v>0.5</v>
      </c>
      <c r="AK35" s="2">
        <v>1.0</v>
      </c>
      <c r="AL35" s="2">
        <v>1.0</v>
      </c>
      <c r="AM35" s="2">
        <v>0.5</v>
      </c>
      <c r="AN35" s="2">
        <v>1.0</v>
      </c>
      <c r="AO35" s="2">
        <v>1.0</v>
      </c>
      <c r="AP35" s="2">
        <v>0.5</v>
      </c>
      <c r="AQ35" s="2"/>
      <c r="AR35" s="2">
        <v>1.0</v>
      </c>
      <c r="AS35" s="2">
        <v>0.5</v>
      </c>
      <c r="AT35" s="2">
        <v>1.0</v>
      </c>
      <c r="AU35" s="2">
        <v>1.0</v>
      </c>
      <c r="AV35" s="2">
        <v>0.5</v>
      </c>
      <c r="AW35" s="2">
        <v>1.0</v>
      </c>
      <c r="AX35" s="2">
        <v>1.0</v>
      </c>
      <c r="AY35" s="2">
        <v>0.5</v>
      </c>
      <c r="AZ35" s="2"/>
      <c r="BA35" s="2"/>
      <c r="BB35" s="1">
        <v>0.5</v>
      </c>
      <c r="BC35" s="19"/>
      <c r="BD35" s="19"/>
      <c r="BE35" s="1">
        <v>0.5</v>
      </c>
      <c r="BF35" s="16">
        <v>1.0</v>
      </c>
      <c r="BG35" s="16">
        <v>1.0</v>
      </c>
      <c r="BH35" s="1">
        <v>0.5</v>
      </c>
      <c r="BI35" s="16">
        <v>1.0</v>
      </c>
      <c r="BJ35" s="16">
        <v>1.0</v>
      </c>
      <c r="BK35" s="1"/>
      <c r="BL35" s="16">
        <v>1.0</v>
      </c>
      <c r="BM35" s="16">
        <v>1.0</v>
      </c>
      <c r="BN35" s="1">
        <v>0.5</v>
      </c>
      <c r="BO35" s="16">
        <v>1.0</v>
      </c>
      <c r="BP35" s="16">
        <v>1.0</v>
      </c>
      <c r="BQ35" s="1">
        <v>0.5</v>
      </c>
      <c r="BR35" s="16">
        <v>2.0</v>
      </c>
      <c r="BS35" s="16">
        <v>1.0</v>
      </c>
      <c r="BT35" s="1">
        <v>0.5</v>
      </c>
      <c r="BU35" s="16">
        <v>1.0</v>
      </c>
      <c r="BV35" s="16">
        <v>1.0</v>
      </c>
      <c r="BW35" s="1">
        <v>0.5</v>
      </c>
      <c r="BX35" s="16">
        <v>1.0</v>
      </c>
      <c r="BY35" s="16">
        <v>1.0</v>
      </c>
      <c r="BZ35" s="1">
        <v>0.5</v>
      </c>
      <c r="CA35" s="16">
        <v>1.0</v>
      </c>
      <c r="CB35" s="16">
        <v>1.0</v>
      </c>
      <c r="CC35" s="1">
        <v>0.5</v>
      </c>
      <c r="CD35" s="16">
        <v>1.0</v>
      </c>
      <c r="CE35" s="16">
        <v>1.0</v>
      </c>
      <c r="CF35" s="1">
        <v>0.5</v>
      </c>
      <c r="CG35" s="16">
        <v>1.0</v>
      </c>
      <c r="CH35" s="16">
        <v>1.0</v>
      </c>
      <c r="CI35" s="16"/>
      <c r="CJ35" s="1">
        <v>0.5</v>
      </c>
      <c r="CK35" s="16">
        <v>1.0</v>
      </c>
      <c r="CL35" s="16">
        <v>1.0</v>
      </c>
      <c r="CM35" s="1" t="str">
        <f t="shared" si="85"/>
        <v>OK</v>
      </c>
      <c r="CN35" s="1">
        <v>0.5</v>
      </c>
      <c r="CO35" s="16">
        <v>2.0</v>
      </c>
      <c r="CP35" s="16">
        <v>1.0</v>
      </c>
    </row>
    <row r="36" ht="21.75" customHeight="1">
      <c r="A36" s="2" t="s">
        <v>88</v>
      </c>
      <c r="B36" s="2">
        <v>403.0</v>
      </c>
      <c r="C36" s="2" t="s">
        <v>39</v>
      </c>
      <c r="D36" s="17">
        <f>IFERROR(__xludf.DUMMYFUNCTION("""COMPUTED_VALUE"""),75.02000902662871)</f>
        <v>75.02000903</v>
      </c>
      <c r="E36" s="1"/>
      <c r="F36" s="2" t="s">
        <v>89</v>
      </c>
      <c r="G36" s="4" t="s">
        <v>25</v>
      </c>
      <c r="H36" s="2">
        <f t="shared" si="86"/>
        <v>49.5</v>
      </c>
      <c r="I36" s="2"/>
      <c r="J36" s="2"/>
      <c r="K36" s="2">
        <v>1.0</v>
      </c>
      <c r="L36" s="2"/>
      <c r="M36" s="2">
        <v>1.0</v>
      </c>
      <c r="N36" s="2">
        <v>1.0</v>
      </c>
      <c r="O36" s="2"/>
      <c r="P36" s="2">
        <v>1.0</v>
      </c>
      <c r="Q36" s="2">
        <v>1.0</v>
      </c>
      <c r="R36" s="2"/>
      <c r="S36" s="2">
        <v>1.0</v>
      </c>
      <c r="T36" s="2">
        <v>1.0</v>
      </c>
      <c r="U36" s="2"/>
      <c r="V36" s="2">
        <v>1.0</v>
      </c>
      <c r="W36" s="2">
        <v>1.0</v>
      </c>
      <c r="X36" s="2"/>
      <c r="Y36" s="2">
        <v>1.0</v>
      </c>
      <c r="Z36" s="2">
        <v>1.0</v>
      </c>
      <c r="AA36" s="2"/>
      <c r="AB36" s="2"/>
      <c r="AC36" s="2"/>
      <c r="AD36" s="2"/>
      <c r="AE36" s="2">
        <v>1.0</v>
      </c>
      <c r="AF36" s="2">
        <v>1.0</v>
      </c>
      <c r="AG36" s="2"/>
      <c r="AH36" s="2">
        <v>1.0</v>
      </c>
      <c r="AI36" s="2">
        <v>1.0</v>
      </c>
      <c r="AJ36" s="2"/>
      <c r="AK36" s="2">
        <v>1.0</v>
      </c>
      <c r="AL36" s="2">
        <v>1.0</v>
      </c>
      <c r="AM36" s="2"/>
      <c r="AN36" s="2">
        <v>1.0</v>
      </c>
      <c r="AO36" s="2">
        <v>1.0</v>
      </c>
      <c r="AP36" s="2"/>
      <c r="AQ36" s="2">
        <v>1.0</v>
      </c>
      <c r="AR36" s="2">
        <v>1.0</v>
      </c>
      <c r="AS36" s="2">
        <v>0.5</v>
      </c>
      <c r="AT36" s="2">
        <v>1.0</v>
      </c>
      <c r="AU36" s="2">
        <v>1.0</v>
      </c>
      <c r="AV36" s="2"/>
      <c r="AW36" s="2"/>
      <c r="AX36" s="2"/>
      <c r="AY36" s="2"/>
      <c r="AZ36" s="2"/>
      <c r="BA36" s="2"/>
      <c r="BB36" s="19"/>
      <c r="BC36" s="19"/>
      <c r="BD36" s="19"/>
      <c r="BE36" s="19"/>
      <c r="BF36" s="16">
        <v>1.0</v>
      </c>
      <c r="BG36" s="16">
        <v>1.0</v>
      </c>
      <c r="BH36" s="19"/>
      <c r="BI36" s="16">
        <v>1.0</v>
      </c>
      <c r="BJ36" s="16">
        <v>1.0</v>
      </c>
      <c r="BK36" s="19"/>
      <c r="BL36" s="16">
        <v>1.0</v>
      </c>
      <c r="BM36" s="16">
        <v>1.0</v>
      </c>
      <c r="BN36" s="19"/>
      <c r="BO36" s="16">
        <v>1.0</v>
      </c>
      <c r="BP36" s="16">
        <v>1.0</v>
      </c>
      <c r="BQ36" s="19"/>
      <c r="BR36" s="16">
        <v>2.0</v>
      </c>
      <c r="BS36" s="16">
        <v>1.0</v>
      </c>
      <c r="BT36" s="19"/>
      <c r="BU36" s="16">
        <v>1.0</v>
      </c>
      <c r="BV36" s="16">
        <v>1.0</v>
      </c>
      <c r="BW36" s="19"/>
      <c r="BX36" s="16">
        <v>1.0</v>
      </c>
      <c r="BY36" s="16">
        <v>1.0</v>
      </c>
      <c r="BZ36" s="19"/>
      <c r="CA36" s="16">
        <v>1.0</v>
      </c>
      <c r="CB36" s="16">
        <v>1.0</v>
      </c>
      <c r="CC36" s="19"/>
      <c r="CD36" s="16">
        <v>1.0</v>
      </c>
      <c r="CE36" s="16">
        <v>1.0</v>
      </c>
      <c r="CF36" s="19"/>
      <c r="CG36" s="16">
        <v>1.0</v>
      </c>
      <c r="CH36" s="16">
        <v>1.0</v>
      </c>
      <c r="CI36" s="16"/>
      <c r="CJ36" s="19"/>
      <c r="CK36" s="16">
        <v>1.0</v>
      </c>
      <c r="CL36" s="16">
        <v>1.0</v>
      </c>
      <c r="CM36" s="1" t="str">
        <f t="shared" si="85"/>
        <v>OK</v>
      </c>
      <c r="CN36" s="19"/>
      <c r="CO36" s="16">
        <v>2.0</v>
      </c>
      <c r="CP36" s="16">
        <v>1.0</v>
      </c>
    </row>
    <row r="37" ht="21.75" customHeight="1">
      <c r="A37" s="2" t="s">
        <v>90</v>
      </c>
      <c r="B37" s="2">
        <v>404.0</v>
      </c>
      <c r="C37" s="2" t="s">
        <v>39</v>
      </c>
      <c r="D37" s="17">
        <f>IFERROR(__xludf.DUMMYFUNCTION("""COMPUTED_VALUE"""),-93.21393109673522)</f>
        <v>-93.2139311</v>
      </c>
      <c r="E37" s="1"/>
      <c r="F37" s="2" t="s">
        <v>91</v>
      </c>
      <c r="G37" s="18" t="s">
        <v>92</v>
      </c>
      <c r="H37" s="2">
        <f t="shared" si="86"/>
        <v>45.5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>
        <v>1.0</v>
      </c>
      <c r="W37" s="2">
        <v>1.0</v>
      </c>
      <c r="X37" s="2"/>
      <c r="Y37" s="2">
        <v>1.0</v>
      </c>
      <c r="Z37" s="2">
        <v>1.0</v>
      </c>
      <c r="AA37" s="2"/>
      <c r="AB37" s="2">
        <v>2.0</v>
      </c>
      <c r="AC37" s="2">
        <v>1.0</v>
      </c>
      <c r="AD37" s="2"/>
      <c r="AE37" s="2">
        <v>1.0</v>
      </c>
      <c r="AF37" s="2"/>
      <c r="AG37" s="2"/>
      <c r="AH37" s="2">
        <v>1.0</v>
      </c>
      <c r="AI37" s="2">
        <v>1.0</v>
      </c>
      <c r="AJ37" s="2"/>
      <c r="AK37" s="2">
        <v>1.0</v>
      </c>
      <c r="AL37" s="2">
        <v>1.0</v>
      </c>
      <c r="AM37" s="2"/>
      <c r="AN37" s="2">
        <v>1.0</v>
      </c>
      <c r="AO37" s="2">
        <v>1.0</v>
      </c>
      <c r="AP37" s="2"/>
      <c r="AQ37" s="2">
        <v>1.0</v>
      </c>
      <c r="AR37" s="2">
        <v>1.0</v>
      </c>
      <c r="AS37" s="2">
        <v>0.5</v>
      </c>
      <c r="AT37" s="2">
        <v>1.0</v>
      </c>
      <c r="AU37" s="2">
        <v>1.0</v>
      </c>
      <c r="AV37" s="2"/>
      <c r="AW37" s="2">
        <v>1.0</v>
      </c>
      <c r="AX37" s="2">
        <v>1.0</v>
      </c>
      <c r="AY37" s="2"/>
      <c r="AZ37" s="2">
        <v>1.0</v>
      </c>
      <c r="BA37" s="2">
        <v>1.0</v>
      </c>
      <c r="BB37" s="19"/>
      <c r="BC37" s="1">
        <v>1.0</v>
      </c>
      <c r="BD37" s="1">
        <v>1.0</v>
      </c>
      <c r="BE37" s="19"/>
      <c r="BF37" s="1">
        <v>1.0</v>
      </c>
      <c r="BG37" s="1">
        <v>1.0</v>
      </c>
      <c r="BH37" s="19"/>
      <c r="BI37" s="1">
        <v>1.0</v>
      </c>
      <c r="BJ37" s="1">
        <v>1.0</v>
      </c>
      <c r="BK37" s="19"/>
      <c r="BL37" s="1">
        <v>1.0</v>
      </c>
      <c r="BM37" s="1">
        <v>1.0</v>
      </c>
      <c r="BN37" s="19"/>
      <c r="BO37" s="1">
        <v>1.0</v>
      </c>
      <c r="BP37" s="1">
        <v>1.0</v>
      </c>
      <c r="BQ37" s="19"/>
      <c r="BR37" s="2">
        <v>2.0</v>
      </c>
      <c r="BS37" s="1">
        <v>1.0</v>
      </c>
      <c r="BT37" s="19"/>
      <c r="BU37" s="1">
        <v>1.0</v>
      </c>
      <c r="BV37" s="1">
        <v>1.0</v>
      </c>
      <c r="BW37" s="19"/>
      <c r="BX37" s="1">
        <v>1.0</v>
      </c>
      <c r="BY37" s="1">
        <v>1.0</v>
      </c>
      <c r="BZ37" s="19"/>
      <c r="CA37" s="1">
        <v>1.0</v>
      </c>
      <c r="CB37" s="1"/>
      <c r="CC37" s="19"/>
      <c r="CD37" s="1"/>
      <c r="CE37" s="1"/>
      <c r="CF37" s="19"/>
      <c r="CG37" s="1"/>
      <c r="CH37" s="1"/>
      <c r="CI37" s="1"/>
      <c r="CJ37" s="19"/>
      <c r="CK37" s="2">
        <v>1.0</v>
      </c>
      <c r="CL37" s="2">
        <v>1.0</v>
      </c>
      <c r="CM37" s="1" t="str">
        <f t="shared" si="85"/>
        <v>OK</v>
      </c>
      <c r="CN37" s="19"/>
      <c r="CO37" s="2">
        <v>2.0</v>
      </c>
      <c r="CP37" s="2">
        <v>1.0</v>
      </c>
    </row>
    <row r="38" ht="21.75" customHeight="1">
      <c r="A38" s="2" t="s">
        <v>93</v>
      </c>
      <c r="B38" s="2">
        <v>404.0</v>
      </c>
      <c r="C38" s="2" t="s">
        <v>39</v>
      </c>
      <c r="D38" s="17">
        <f>IFERROR(__xludf.DUMMYFUNCTION("""COMPUTED_VALUE"""),-285.78847600421227)</f>
        <v>-285.788476</v>
      </c>
      <c r="E38" s="1"/>
      <c r="F38" s="2" t="s">
        <v>47</v>
      </c>
      <c r="G38" s="18" t="s">
        <v>94</v>
      </c>
      <c r="H38" s="2">
        <f t="shared" si="86"/>
        <v>48.5</v>
      </c>
      <c r="I38" s="2"/>
      <c r="J38" s="2"/>
      <c r="K38" s="2">
        <v>1.0</v>
      </c>
      <c r="L38" s="2">
        <v>0.5</v>
      </c>
      <c r="M38" s="2">
        <v>1.0</v>
      </c>
      <c r="N38" s="2">
        <v>1.0</v>
      </c>
      <c r="O38" s="2">
        <v>0.5</v>
      </c>
      <c r="P38" s="2">
        <v>1.0</v>
      </c>
      <c r="Q38" s="2">
        <v>1.0</v>
      </c>
      <c r="R38" s="2">
        <v>0.5</v>
      </c>
      <c r="S38" s="2">
        <v>1.0</v>
      </c>
      <c r="T38" s="2">
        <v>1.0</v>
      </c>
      <c r="U38" s="2">
        <v>0.5</v>
      </c>
      <c r="V38" s="2">
        <v>1.0</v>
      </c>
      <c r="W38" s="2">
        <v>1.0</v>
      </c>
      <c r="X38" s="2">
        <v>0.5</v>
      </c>
      <c r="Y38" s="2">
        <v>1.0</v>
      </c>
      <c r="Z38" s="2">
        <v>1.0</v>
      </c>
      <c r="AA38" s="2">
        <v>0.5</v>
      </c>
      <c r="AB38" s="2">
        <v>2.0</v>
      </c>
      <c r="AC38" s="2">
        <v>1.0</v>
      </c>
      <c r="AD38" s="2"/>
      <c r="AE38" s="2">
        <v>1.0</v>
      </c>
      <c r="AF38" s="2">
        <v>1.0</v>
      </c>
      <c r="AG38" s="2"/>
      <c r="AH38" s="2">
        <v>1.0</v>
      </c>
      <c r="AI38" s="2">
        <v>1.0</v>
      </c>
      <c r="AJ38" s="2"/>
      <c r="AK38" s="2">
        <v>1.0</v>
      </c>
      <c r="AL38" s="2">
        <v>1.0</v>
      </c>
      <c r="AM38" s="2"/>
      <c r="AN38" s="2">
        <v>1.0</v>
      </c>
      <c r="AO38" s="2">
        <v>1.0</v>
      </c>
      <c r="AP38" s="2"/>
      <c r="AQ38" s="2">
        <v>1.0</v>
      </c>
      <c r="AR38" s="2">
        <v>1.0</v>
      </c>
      <c r="AS38" s="2">
        <v>0.5</v>
      </c>
      <c r="AT38" s="2">
        <v>1.0</v>
      </c>
      <c r="AU38" s="2">
        <v>1.0</v>
      </c>
      <c r="AV38" s="2"/>
      <c r="AW38" s="2">
        <v>1.0</v>
      </c>
      <c r="AX38" s="2">
        <v>1.0</v>
      </c>
      <c r="AY38" s="2"/>
      <c r="AZ38" s="2">
        <v>1.0</v>
      </c>
      <c r="BA38" s="2">
        <v>1.0</v>
      </c>
      <c r="BB38" s="19"/>
      <c r="BC38" s="1">
        <v>1.0</v>
      </c>
      <c r="BD38" s="1">
        <v>1.0</v>
      </c>
      <c r="BE38" s="19"/>
      <c r="BF38" s="1">
        <v>1.0</v>
      </c>
      <c r="BG38" s="1">
        <v>1.0</v>
      </c>
      <c r="BH38" s="19"/>
      <c r="BI38" s="1">
        <v>1.0</v>
      </c>
      <c r="BJ38" s="1">
        <v>1.0</v>
      </c>
      <c r="BK38" s="19"/>
      <c r="BL38" s="1">
        <v>1.0</v>
      </c>
      <c r="BM38" s="1">
        <v>1.0</v>
      </c>
      <c r="BN38" s="19"/>
      <c r="BO38" s="1">
        <v>1.0</v>
      </c>
      <c r="BP38" s="1">
        <v>1.0</v>
      </c>
      <c r="BQ38" s="19"/>
      <c r="BR38" s="2">
        <v>2.0</v>
      </c>
      <c r="BS38" s="1">
        <v>1.0</v>
      </c>
      <c r="BT38" s="19"/>
      <c r="BU38" s="1">
        <v>1.0</v>
      </c>
      <c r="BV38" s="1">
        <v>1.0</v>
      </c>
      <c r="BW38" s="19"/>
      <c r="BX38" s="1"/>
      <c r="BY38" s="1"/>
      <c r="BZ38" s="19"/>
      <c r="CA38" s="1"/>
      <c r="CB38" s="1"/>
      <c r="CC38" s="19"/>
      <c r="CD38" s="1"/>
      <c r="CE38" s="1"/>
      <c r="CF38" s="19"/>
      <c r="CG38" s="1"/>
      <c r="CH38" s="1"/>
      <c r="CI38" s="1"/>
      <c r="CJ38" s="19"/>
      <c r="CK38" s="1"/>
      <c r="CL38" s="1"/>
      <c r="CM38" s="1" t="str">
        <f t="shared" si="85"/>
        <v>Check</v>
      </c>
      <c r="CN38" s="19"/>
      <c r="CO38" s="1"/>
      <c r="CP38" s="1"/>
    </row>
    <row r="39" ht="21.75" customHeight="1">
      <c r="A39" s="2" t="s">
        <v>95</v>
      </c>
      <c r="B39" s="2">
        <v>405.0</v>
      </c>
      <c r="C39" s="2" t="s">
        <v>39</v>
      </c>
      <c r="D39" s="17">
        <f>IFERROR(__xludf.DUMMYFUNCTION("""COMPUTED_VALUE"""),-158.10786821122292)</f>
        <v>-158.1078682</v>
      </c>
      <c r="E39" s="1"/>
      <c r="F39" s="2">
        <v>2500.0</v>
      </c>
      <c r="G39" s="4" t="s">
        <v>25</v>
      </c>
      <c r="H39" s="2">
        <f t="shared" si="86"/>
        <v>58</v>
      </c>
      <c r="I39" s="2"/>
      <c r="J39" s="2"/>
      <c r="K39" s="2"/>
      <c r="L39" s="2"/>
      <c r="M39" s="2">
        <v>1.0</v>
      </c>
      <c r="N39" s="2">
        <v>1.0</v>
      </c>
      <c r="O39" s="2"/>
      <c r="P39" s="2">
        <v>1.0</v>
      </c>
      <c r="Q39" s="2">
        <v>1.0</v>
      </c>
      <c r="R39" s="2"/>
      <c r="S39" s="2">
        <v>1.0</v>
      </c>
      <c r="T39" s="2">
        <v>1.0</v>
      </c>
      <c r="U39" s="2"/>
      <c r="V39" s="2">
        <v>1.0</v>
      </c>
      <c r="W39" s="2">
        <v>1.0</v>
      </c>
      <c r="X39" s="2"/>
      <c r="Y39" s="2">
        <v>1.0</v>
      </c>
      <c r="Z39" s="2">
        <v>1.0</v>
      </c>
      <c r="AA39" s="2"/>
      <c r="AB39" s="2">
        <v>2.0</v>
      </c>
      <c r="AC39" s="2">
        <v>1.0</v>
      </c>
      <c r="AD39" s="2"/>
      <c r="AE39" s="2">
        <v>1.0</v>
      </c>
      <c r="AF39" s="2">
        <v>1.0</v>
      </c>
      <c r="AG39" s="2"/>
      <c r="AH39" s="2">
        <v>1.0</v>
      </c>
      <c r="AI39" s="2">
        <v>1.0</v>
      </c>
      <c r="AJ39" s="2"/>
      <c r="AK39" s="2">
        <v>1.0</v>
      </c>
      <c r="AL39" s="2">
        <v>1.0</v>
      </c>
      <c r="AM39" s="2"/>
      <c r="AN39" s="2">
        <v>1.0</v>
      </c>
      <c r="AO39" s="2">
        <v>1.0</v>
      </c>
      <c r="AP39" s="2"/>
      <c r="AQ39" s="2"/>
      <c r="AR39" s="2">
        <v>2.0</v>
      </c>
      <c r="AS39" s="2">
        <v>1.0</v>
      </c>
      <c r="AT39" s="2">
        <v>1.0</v>
      </c>
      <c r="AU39" s="2">
        <v>1.0</v>
      </c>
      <c r="AV39" s="2"/>
      <c r="AW39" s="2">
        <v>1.0</v>
      </c>
      <c r="AX39" s="2">
        <v>1.0</v>
      </c>
      <c r="AY39" s="2"/>
      <c r="AZ39" s="2">
        <v>1.0</v>
      </c>
      <c r="BA39" s="2">
        <v>1.0</v>
      </c>
      <c r="BB39" s="19"/>
      <c r="BC39" s="1">
        <v>1.0</v>
      </c>
      <c r="BD39" s="1">
        <v>1.0</v>
      </c>
      <c r="BE39" s="19"/>
      <c r="BF39" s="1">
        <v>1.0</v>
      </c>
      <c r="BG39" s="1">
        <v>1.0</v>
      </c>
      <c r="BH39" s="19"/>
      <c r="BI39" s="1">
        <v>1.0</v>
      </c>
      <c r="BJ39" s="1">
        <v>1.0</v>
      </c>
      <c r="BK39" s="19"/>
      <c r="BL39" s="1">
        <v>1.0</v>
      </c>
      <c r="BM39" s="1">
        <v>1.0</v>
      </c>
      <c r="BN39" s="19"/>
      <c r="BO39" s="1">
        <v>1.0</v>
      </c>
      <c r="BP39" s="1">
        <v>1.0</v>
      </c>
      <c r="BQ39" s="19"/>
      <c r="BR39" s="2">
        <v>2.0</v>
      </c>
      <c r="BS39" s="1">
        <v>1.0</v>
      </c>
      <c r="BT39" s="19"/>
      <c r="BU39" s="1">
        <v>1.0</v>
      </c>
      <c r="BV39" s="1">
        <v>1.0</v>
      </c>
      <c r="BW39" s="19"/>
      <c r="BX39" s="1">
        <v>1.0</v>
      </c>
      <c r="BY39" s="1">
        <v>1.0</v>
      </c>
      <c r="BZ39" s="19"/>
      <c r="CA39" s="1">
        <v>1.0</v>
      </c>
      <c r="CB39" s="1">
        <v>1.0</v>
      </c>
      <c r="CC39" s="19"/>
      <c r="CD39" s="1">
        <v>1.0</v>
      </c>
      <c r="CE39" s="1">
        <v>1.0</v>
      </c>
      <c r="CF39" s="19"/>
      <c r="CG39" s="1">
        <v>1.0</v>
      </c>
      <c r="CH39" s="1">
        <v>1.0</v>
      </c>
      <c r="CI39" s="1"/>
      <c r="CJ39" s="19"/>
      <c r="CK39" s="1">
        <v>1.0</v>
      </c>
      <c r="CL39" s="2">
        <v>1.0</v>
      </c>
      <c r="CM39" s="1" t="str">
        <f t="shared" si="85"/>
        <v>OK</v>
      </c>
      <c r="CN39" s="19"/>
      <c r="CO39" s="2">
        <v>2.0</v>
      </c>
      <c r="CP39" s="1">
        <v>1.0</v>
      </c>
    </row>
    <row r="40" ht="21.75" customHeight="1">
      <c r="A40" s="2" t="s">
        <v>96</v>
      </c>
      <c r="B40" s="2">
        <v>406.0</v>
      </c>
      <c r="C40" s="2" t="s">
        <v>39</v>
      </c>
      <c r="D40" s="17">
        <f>IFERROR(__xludf.DUMMYFUNCTION("""COMPUTED_VALUE"""),14.870919211674845)</f>
        <v>14.87091921</v>
      </c>
      <c r="E40" s="2" t="s">
        <v>37</v>
      </c>
      <c r="F40" s="2" t="s">
        <v>97</v>
      </c>
      <c r="G40" s="18" t="s">
        <v>98</v>
      </c>
      <c r="H40" s="2">
        <f t="shared" si="86"/>
        <v>55.5</v>
      </c>
      <c r="I40" s="2"/>
      <c r="J40" s="2"/>
      <c r="K40" s="2">
        <v>1.0</v>
      </c>
      <c r="L40" s="2"/>
      <c r="M40" s="2">
        <v>1.0</v>
      </c>
      <c r="N40" s="12">
        <v>1.0</v>
      </c>
      <c r="O40" s="2"/>
      <c r="P40" s="2">
        <v>1.0</v>
      </c>
      <c r="Q40" s="2">
        <v>1.0</v>
      </c>
      <c r="R40" s="2"/>
      <c r="S40" s="2">
        <v>2.0</v>
      </c>
      <c r="T40" s="2">
        <v>1.0</v>
      </c>
      <c r="U40" s="2"/>
      <c r="V40" s="2">
        <v>1.0</v>
      </c>
      <c r="W40" s="2">
        <v>1.0</v>
      </c>
      <c r="X40" s="2"/>
      <c r="Y40" s="2">
        <v>1.0</v>
      </c>
      <c r="Z40" s="2">
        <v>1.0</v>
      </c>
      <c r="AA40" s="2"/>
      <c r="AB40" s="2"/>
      <c r="AC40" s="2"/>
      <c r="AD40" s="2"/>
      <c r="AE40" s="2">
        <v>1.0</v>
      </c>
      <c r="AF40" s="2">
        <v>1.0</v>
      </c>
      <c r="AG40" s="2"/>
      <c r="AH40" s="2">
        <v>1.0</v>
      </c>
      <c r="AI40" s="2">
        <v>1.0</v>
      </c>
      <c r="AJ40" s="2"/>
      <c r="AK40" s="2">
        <v>1.0</v>
      </c>
      <c r="AL40" s="2">
        <v>1.0</v>
      </c>
      <c r="AM40" s="2"/>
      <c r="AN40" s="2">
        <v>1.0</v>
      </c>
      <c r="AO40" s="2">
        <v>2.5</v>
      </c>
      <c r="AP40" s="2">
        <v>0.5</v>
      </c>
      <c r="AQ40" s="2">
        <v>1.0</v>
      </c>
      <c r="AR40" s="2">
        <v>1.0</v>
      </c>
      <c r="AS40" s="2">
        <v>0.5</v>
      </c>
      <c r="AT40" s="2">
        <v>1.0</v>
      </c>
      <c r="AU40" s="2">
        <v>1.0</v>
      </c>
      <c r="AV40" s="2"/>
      <c r="AW40" s="2"/>
      <c r="AX40" s="2"/>
      <c r="AY40" s="2"/>
      <c r="AZ40" s="2">
        <v>1.0</v>
      </c>
      <c r="BA40" s="2">
        <v>1.0</v>
      </c>
      <c r="BB40" s="19"/>
      <c r="BC40" s="1">
        <v>1.0</v>
      </c>
      <c r="BD40" s="1">
        <v>1.0</v>
      </c>
      <c r="BE40" s="19"/>
      <c r="BF40" s="1">
        <v>1.0</v>
      </c>
      <c r="BG40" s="1">
        <v>1.0</v>
      </c>
      <c r="BH40" s="19"/>
      <c r="BI40" s="1">
        <v>1.0</v>
      </c>
      <c r="BJ40" s="1">
        <v>1.0</v>
      </c>
      <c r="BK40" s="19"/>
      <c r="BL40" s="1">
        <v>1.0</v>
      </c>
      <c r="BM40" s="1">
        <v>1.0</v>
      </c>
      <c r="BN40" s="16">
        <v>0.5</v>
      </c>
      <c r="BO40" s="1">
        <v>1.0</v>
      </c>
      <c r="BP40" s="1">
        <v>1.0</v>
      </c>
      <c r="BQ40" s="16"/>
      <c r="BR40" s="2"/>
      <c r="BS40" s="1">
        <v>1.0</v>
      </c>
      <c r="BT40" s="16"/>
      <c r="BU40" s="1">
        <v>1.0</v>
      </c>
      <c r="BV40" s="1">
        <v>1.0</v>
      </c>
      <c r="BW40" s="16"/>
      <c r="BX40" s="1">
        <v>1.0</v>
      </c>
      <c r="BY40" s="1">
        <v>1.0</v>
      </c>
      <c r="BZ40" s="16"/>
      <c r="CA40" s="1">
        <v>1.0</v>
      </c>
      <c r="CB40" s="1">
        <v>1.0</v>
      </c>
      <c r="CC40" s="16"/>
      <c r="CD40" s="1">
        <v>1.0</v>
      </c>
      <c r="CE40" s="1">
        <v>1.0</v>
      </c>
      <c r="CF40" s="16"/>
      <c r="CG40" s="1">
        <v>1.0</v>
      </c>
      <c r="CH40" s="1">
        <v>1.0</v>
      </c>
      <c r="CI40" s="1"/>
      <c r="CJ40" s="16"/>
      <c r="CK40" s="1">
        <v>1.0</v>
      </c>
      <c r="CL40" s="2">
        <v>1.0</v>
      </c>
      <c r="CM40" s="1" t="str">
        <f t="shared" si="85"/>
        <v>Check</v>
      </c>
      <c r="CN40" s="16">
        <v>0.5</v>
      </c>
      <c r="CO40" s="2">
        <v>2.0</v>
      </c>
      <c r="CP40" s="1">
        <v>1.0</v>
      </c>
    </row>
    <row r="41" ht="21.75" customHeight="1">
      <c r="A41" s="2" t="s">
        <v>99</v>
      </c>
      <c r="B41" s="2">
        <v>406.0</v>
      </c>
      <c r="C41" s="2" t="s">
        <v>39</v>
      </c>
      <c r="D41" s="17">
        <f>IFERROR(__xludf.DUMMYFUNCTION("""COMPUTED_VALUE"""),675.0200090266287)</f>
        <v>675.020009</v>
      </c>
      <c r="E41" s="1"/>
      <c r="F41" s="2" t="s">
        <v>100</v>
      </c>
      <c r="G41" s="18" t="s">
        <v>101</v>
      </c>
      <c r="H41" s="2">
        <f t="shared" si="86"/>
        <v>49.5</v>
      </c>
      <c r="I41" s="2"/>
      <c r="J41" s="2"/>
      <c r="K41" s="2">
        <v>1.0</v>
      </c>
      <c r="L41" s="2"/>
      <c r="M41" s="2">
        <v>1.0</v>
      </c>
      <c r="N41" s="2">
        <v>1.0</v>
      </c>
      <c r="O41" s="2"/>
      <c r="P41" s="2">
        <v>1.0</v>
      </c>
      <c r="Q41" s="2">
        <v>1.0</v>
      </c>
      <c r="R41" s="2"/>
      <c r="S41" s="2">
        <v>1.0</v>
      </c>
      <c r="T41" s="2">
        <v>1.0</v>
      </c>
      <c r="U41" s="2"/>
      <c r="V41" s="2">
        <v>1.0</v>
      </c>
      <c r="W41" s="2">
        <v>1.0</v>
      </c>
      <c r="X41" s="2"/>
      <c r="Y41" s="2">
        <v>1.0</v>
      </c>
      <c r="Z41" s="2">
        <v>1.0</v>
      </c>
      <c r="AA41" s="2"/>
      <c r="AB41" s="2">
        <v>2.0</v>
      </c>
      <c r="AC41" s="2">
        <v>1.0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>
        <v>1.5</v>
      </c>
      <c r="AP41" s="2"/>
      <c r="AQ41" s="2"/>
      <c r="AR41" s="2">
        <v>1.0</v>
      </c>
      <c r="AS41" s="2">
        <v>0.5</v>
      </c>
      <c r="AT41" s="2">
        <v>1.0</v>
      </c>
      <c r="AU41" s="2">
        <v>1.0</v>
      </c>
      <c r="AV41" s="2"/>
      <c r="AW41" s="2">
        <v>1.0</v>
      </c>
      <c r="AX41" s="2">
        <v>1.0</v>
      </c>
      <c r="AY41" s="2"/>
      <c r="AZ41" s="2">
        <v>1.0</v>
      </c>
      <c r="BA41" s="2">
        <v>1.0</v>
      </c>
      <c r="BB41" s="19"/>
      <c r="BC41" s="1">
        <v>1.0</v>
      </c>
      <c r="BD41" s="1">
        <v>1.0</v>
      </c>
      <c r="BE41" s="19"/>
      <c r="BF41" s="1">
        <v>1.0</v>
      </c>
      <c r="BG41" s="1">
        <v>1.0</v>
      </c>
      <c r="BH41" s="19"/>
      <c r="BI41" s="1">
        <v>1.0</v>
      </c>
      <c r="BJ41" s="2">
        <v>2.0</v>
      </c>
      <c r="BK41" s="19"/>
      <c r="BL41" s="2">
        <v>2.0</v>
      </c>
      <c r="BM41" s="2">
        <v>1.0</v>
      </c>
      <c r="BN41" s="19"/>
      <c r="BO41" s="2"/>
      <c r="BP41" s="2"/>
      <c r="BQ41" s="19"/>
      <c r="BR41" s="2">
        <v>2.0</v>
      </c>
      <c r="BS41" s="2">
        <v>1.0</v>
      </c>
      <c r="BT41" s="19"/>
      <c r="BU41" s="2"/>
      <c r="BV41" s="2"/>
      <c r="BW41" s="19"/>
      <c r="BX41" s="2">
        <v>1.0</v>
      </c>
      <c r="BY41" s="2">
        <v>1.0</v>
      </c>
      <c r="BZ41" s="19"/>
      <c r="CA41" s="2">
        <v>1.0</v>
      </c>
      <c r="CB41" s="2">
        <v>1.0</v>
      </c>
      <c r="CC41" s="19"/>
      <c r="CD41" s="2">
        <v>1.0</v>
      </c>
      <c r="CE41" s="2">
        <v>1.0</v>
      </c>
      <c r="CF41" s="19"/>
      <c r="CG41" s="2">
        <v>1.0</v>
      </c>
      <c r="CH41" s="2">
        <v>1.0</v>
      </c>
      <c r="CI41" s="2"/>
      <c r="CJ41" s="19"/>
      <c r="CK41" s="2">
        <v>1.0</v>
      </c>
      <c r="CL41" s="2">
        <v>1.0</v>
      </c>
      <c r="CM41" s="1" t="str">
        <f t="shared" si="85"/>
        <v>Check</v>
      </c>
      <c r="CN41" s="16">
        <v>0.5</v>
      </c>
      <c r="CO41" s="2">
        <v>2.0</v>
      </c>
      <c r="CP41" s="2">
        <v>1.0</v>
      </c>
    </row>
    <row r="42" ht="21.75" customHeight="1">
      <c r="A42" s="12" t="s">
        <v>102</v>
      </c>
      <c r="B42" s="12">
        <v>406.0</v>
      </c>
      <c r="C42" s="12" t="s">
        <v>103</v>
      </c>
      <c r="D42" s="12"/>
      <c r="E42" s="13"/>
      <c r="F42" s="12">
        <v>500.0</v>
      </c>
      <c r="G42" s="20"/>
      <c r="H42" s="12">
        <v>4.0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1" t="str">
        <f t="shared" si="85"/>
        <v>Check</v>
      </c>
      <c r="CN42" s="21"/>
      <c r="CO42" s="21"/>
      <c r="CP42" s="21"/>
    </row>
    <row r="43" ht="21.75" customHeight="1">
      <c r="A43" s="2" t="s">
        <v>104</v>
      </c>
      <c r="B43" s="2">
        <v>407.0</v>
      </c>
      <c r="C43" s="2" t="s">
        <v>15</v>
      </c>
      <c r="D43" s="17">
        <f>IFERROR(__xludf.DUMMYFUNCTION("""COMPUTED_VALUE"""),396.6369790883107)</f>
        <v>396.6369791</v>
      </c>
      <c r="E43" s="1"/>
      <c r="F43" s="2" t="s">
        <v>105</v>
      </c>
      <c r="G43" s="18" t="s">
        <v>28</v>
      </c>
      <c r="H43" s="2">
        <f t="shared" ref="H43:H82" si="87">sum(K43:CP43)</f>
        <v>51.5</v>
      </c>
      <c r="I43" s="2"/>
      <c r="J43" s="2"/>
      <c r="K43" s="2">
        <v>1.0</v>
      </c>
      <c r="L43" s="2"/>
      <c r="M43" s="2">
        <v>1.0</v>
      </c>
      <c r="N43" s="2">
        <v>1.0</v>
      </c>
      <c r="O43" s="2"/>
      <c r="P43" s="2">
        <v>1.0</v>
      </c>
      <c r="Q43" s="2">
        <v>1.0</v>
      </c>
      <c r="R43" s="2"/>
      <c r="S43" s="2">
        <v>1.0</v>
      </c>
      <c r="T43" s="2">
        <v>1.0</v>
      </c>
      <c r="U43" s="2"/>
      <c r="V43" s="2">
        <v>1.0</v>
      </c>
      <c r="W43" s="2">
        <v>1.0</v>
      </c>
      <c r="X43" s="2"/>
      <c r="Y43" s="2">
        <v>1.0</v>
      </c>
      <c r="Z43" s="2">
        <v>1.0</v>
      </c>
      <c r="AA43" s="2"/>
      <c r="AB43" s="2">
        <v>2.0</v>
      </c>
      <c r="AC43" s="2">
        <v>1.0</v>
      </c>
      <c r="AD43" s="2"/>
      <c r="AE43" s="2">
        <v>1.0</v>
      </c>
      <c r="AF43" s="2">
        <v>1.0</v>
      </c>
      <c r="AG43" s="2"/>
      <c r="AH43" s="2">
        <v>1.0</v>
      </c>
      <c r="AI43" s="2">
        <v>1.0</v>
      </c>
      <c r="AJ43" s="2"/>
      <c r="AK43" s="2">
        <v>1.0</v>
      </c>
      <c r="AL43" s="2">
        <v>1.0</v>
      </c>
      <c r="AM43" s="2"/>
      <c r="AN43" s="2">
        <v>1.0</v>
      </c>
      <c r="AO43" s="2">
        <v>1.0</v>
      </c>
      <c r="AP43" s="2"/>
      <c r="AQ43" s="2">
        <v>1.0</v>
      </c>
      <c r="AR43" s="2">
        <v>1.0</v>
      </c>
      <c r="AS43" s="2">
        <v>0.5</v>
      </c>
      <c r="AT43" s="2">
        <v>1.0</v>
      </c>
      <c r="AU43" s="2">
        <v>1.0</v>
      </c>
      <c r="AV43" s="2"/>
      <c r="AW43" s="2">
        <v>1.0</v>
      </c>
      <c r="AX43" s="2">
        <v>1.0</v>
      </c>
      <c r="AY43" s="2"/>
      <c r="AZ43" s="2"/>
      <c r="BA43" s="2"/>
      <c r="BB43" s="1">
        <v>0.5</v>
      </c>
      <c r="BC43" s="1">
        <v>1.0</v>
      </c>
      <c r="BD43" s="1">
        <v>1.0</v>
      </c>
      <c r="BE43" s="1"/>
      <c r="BF43" s="1">
        <v>1.0</v>
      </c>
      <c r="BG43" s="1">
        <v>1.0</v>
      </c>
      <c r="BH43" s="1"/>
      <c r="BI43" s="1">
        <v>1.0</v>
      </c>
      <c r="BJ43" s="1">
        <v>1.0</v>
      </c>
      <c r="BK43" s="1"/>
      <c r="BL43" s="1">
        <v>1.0</v>
      </c>
      <c r="BM43" s="1">
        <v>1.0</v>
      </c>
      <c r="BN43" s="2">
        <v>0.5</v>
      </c>
      <c r="BO43" s="1">
        <v>1.0</v>
      </c>
      <c r="BP43" s="1">
        <v>1.0</v>
      </c>
      <c r="BQ43" s="2"/>
      <c r="BR43" s="2"/>
      <c r="BS43" s="1"/>
      <c r="BT43" s="2"/>
      <c r="BU43" s="1"/>
      <c r="BV43" s="1"/>
      <c r="BW43" s="2"/>
      <c r="BX43" s="2"/>
      <c r="BY43" s="2">
        <v>1.0</v>
      </c>
      <c r="BZ43" s="2"/>
      <c r="CA43" s="2"/>
      <c r="CB43" s="2">
        <v>1.0</v>
      </c>
      <c r="CC43" s="2">
        <v>0.5</v>
      </c>
      <c r="CD43" s="2">
        <v>1.0</v>
      </c>
      <c r="CE43" s="2">
        <v>1.0</v>
      </c>
      <c r="CF43" s="2">
        <v>0.5</v>
      </c>
      <c r="CG43" s="2">
        <v>1.0</v>
      </c>
      <c r="CH43" s="2">
        <v>1.0</v>
      </c>
      <c r="CI43" s="2"/>
      <c r="CJ43" s="2">
        <v>0.5</v>
      </c>
      <c r="CK43" s="2">
        <v>1.0</v>
      </c>
      <c r="CL43" s="2">
        <v>1.0</v>
      </c>
      <c r="CM43" s="1" t="str">
        <f t="shared" si="85"/>
        <v>Check</v>
      </c>
      <c r="CN43" s="2">
        <v>0.5</v>
      </c>
      <c r="CO43" s="2">
        <v>2.0</v>
      </c>
      <c r="CP43" s="2"/>
    </row>
    <row r="44" ht="21.75" customHeight="1">
      <c r="A44" s="2" t="s">
        <v>106</v>
      </c>
      <c r="B44" s="2">
        <v>407.0</v>
      </c>
      <c r="C44" s="22" t="s">
        <v>107</v>
      </c>
      <c r="D44" s="17">
        <f>IFERROR(__xludf.DUMMYFUNCTION("""COMPUTED_VALUE"""),87.14728448924325)</f>
        <v>87.14728449</v>
      </c>
      <c r="E44" s="2"/>
      <c r="F44" s="2" t="s">
        <v>108</v>
      </c>
      <c r="G44" s="18" t="s">
        <v>109</v>
      </c>
      <c r="H44" s="2">
        <f t="shared" si="87"/>
        <v>64.5</v>
      </c>
      <c r="I44" s="2"/>
      <c r="J44" s="2"/>
      <c r="K44" s="2"/>
      <c r="L44" s="2">
        <v>0.5</v>
      </c>
      <c r="M44" s="2">
        <v>1.0</v>
      </c>
      <c r="N44" s="2"/>
      <c r="O44" s="2"/>
      <c r="P44" s="2">
        <v>1.0</v>
      </c>
      <c r="Q44" s="2"/>
      <c r="R44" s="2">
        <v>0.5</v>
      </c>
      <c r="S44" s="2">
        <v>1.0</v>
      </c>
      <c r="T44" s="2">
        <v>1.0</v>
      </c>
      <c r="U44" s="2"/>
      <c r="V44" s="2">
        <v>1.0</v>
      </c>
      <c r="W44" s="2">
        <v>1.0</v>
      </c>
      <c r="X44" s="2"/>
      <c r="Y44" s="2">
        <v>2.0</v>
      </c>
      <c r="Z44" s="2">
        <v>2.0</v>
      </c>
      <c r="AA44" s="2"/>
      <c r="AB44" s="2">
        <v>2.0</v>
      </c>
      <c r="AC44" s="2">
        <v>1.0</v>
      </c>
      <c r="AD44" s="2"/>
      <c r="AE44" s="2">
        <v>1.0</v>
      </c>
      <c r="AF44" s="2">
        <v>1.0</v>
      </c>
      <c r="AG44" s="2">
        <v>0.5</v>
      </c>
      <c r="AH44" s="2">
        <v>1.0</v>
      </c>
      <c r="AI44" s="2">
        <v>1.0</v>
      </c>
      <c r="AJ44" s="2"/>
      <c r="AK44" s="2">
        <v>1.0</v>
      </c>
      <c r="AL44" s="2">
        <v>1.0</v>
      </c>
      <c r="AM44" s="2">
        <v>0.5</v>
      </c>
      <c r="AN44" s="2">
        <v>1.0</v>
      </c>
      <c r="AO44" s="2">
        <v>2.5</v>
      </c>
      <c r="AP44" s="1"/>
      <c r="AQ44" s="2">
        <v>1.0</v>
      </c>
      <c r="AR44" s="2">
        <v>1.0</v>
      </c>
      <c r="AS44" s="2">
        <v>0.5</v>
      </c>
      <c r="AT44" s="2">
        <v>1.0</v>
      </c>
      <c r="AU44" s="2">
        <v>1.0</v>
      </c>
      <c r="AV44" s="1"/>
      <c r="AW44" s="2">
        <v>1.0</v>
      </c>
      <c r="AX44" s="2">
        <v>1.0</v>
      </c>
      <c r="AY44" s="2"/>
      <c r="AZ44" s="2">
        <v>1.0</v>
      </c>
      <c r="BA44" s="2">
        <v>1.0</v>
      </c>
      <c r="BB44" s="23">
        <v>0.5</v>
      </c>
      <c r="BC44" s="23">
        <v>1.0</v>
      </c>
      <c r="BD44" s="23">
        <v>1.0</v>
      </c>
      <c r="BE44" s="23"/>
      <c r="BF44" s="23">
        <v>1.0</v>
      </c>
      <c r="BG44" s="23">
        <v>1.0</v>
      </c>
      <c r="BH44" s="2">
        <v>0.5</v>
      </c>
      <c r="BI44" s="23">
        <v>1.0</v>
      </c>
      <c r="BJ44" s="23">
        <v>1.0</v>
      </c>
      <c r="BK44" s="2"/>
      <c r="BL44" s="23">
        <v>1.0</v>
      </c>
      <c r="BM44" s="23">
        <v>1.0</v>
      </c>
      <c r="BN44" s="2"/>
      <c r="BO44" s="23">
        <v>1.0</v>
      </c>
      <c r="BP44" s="23">
        <v>1.0</v>
      </c>
      <c r="BQ44" s="2">
        <v>0.5</v>
      </c>
      <c r="BR44" s="2">
        <v>2.0</v>
      </c>
      <c r="BS44" s="23">
        <v>1.0</v>
      </c>
      <c r="BT44" s="2"/>
      <c r="BU44" s="23">
        <v>1.0</v>
      </c>
      <c r="BV44" s="23">
        <v>1.0</v>
      </c>
      <c r="BW44" s="2">
        <v>0.5</v>
      </c>
      <c r="BX44" s="23">
        <v>1.0</v>
      </c>
      <c r="BY44" s="23">
        <v>1.0</v>
      </c>
      <c r="BZ44" s="2"/>
      <c r="CA44" s="23">
        <v>1.0</v>
      </c>
      <c r="CB44" s="23">
        <v>1.0</v>
      </c>
      <c r="CC44" s="2">
        <v>0.5</v>
      </c>
      <c r="CD44" s="23">
        <v>1.0</v>
      </c>
      <c r="CE44" s="23">
        <v>1.0</v>
      </c>
      <c r="CF44" s="2"/>
      <c r="CG44" s="23">
        <v>1.0</v>
      </c>
      <c r="CH44" s="23">
        <v>1.0</v>
      </c>
      <c r="CI44" s="23"/>
      <c r="CJ44" s="2">
        <v>0.5</v>
      </c>
      <c r="CK44" s="23">
        <v>1.0</v>
      </c>
      <c r="CL44" s="2">
        <v>1.0</v>
      </c>
      <c r="CM44" s="1" t="str">
        <f t="shared" si="85"/>
        <v>Check</v>
      </c>
      <c r="CN44" s="2">
        <v>0.5</v>
      </c>
      <c r="CO44" s="2">
        <v>2.0</v>
      </c>
      <c r="CP44" s="23">
        <v>1.0</v>
      </c>
    </row>
    <row r="45" ht="21.75" customHeight="1">
      <c r="A45" s="12" t="s">
        <v>48</v>
      </c>
      <c r="B45" s="12">
        <v>407.0</v>
      </c>
      <c r="C45" s="12" t="s">
        <v>110</v>
      </c>
      <c r="D45" s="24">
        <f>IFERROR(__xludf.DUMMYFUNCTION("""COMPUTED_VALUE"""),-82.21332932149835)</f>
        <v>-82.21332932</v>
      </c>
      <c r="E45" s="12" t="s">
        <v>111</v>
      </c>
      <c r="F45" s="12" t="s">
        <v>112</v>
      </c>
      <c r="G45" s="15" t="s">
        <v>25</v>
      </c>
      <c r="H45" s="12">
        <f t="shared" si="87"/>
        <v>22</v>
      </c>
      <c r="I45" s="12"/>
      <c r="J45" s="12"/>
      <c r="K45" s="12">
        <v>1.0</v>
      </c>
      <c r="L45" s="12">
        <v>0.5</v>
      </c>
      <c r="M45" s="12">
        <v>1.0</v>
      </c>
      <c r="N45" s="12">
        <v>1.0</v>
      </c>
      <c r="O45" s="12">
        <v>0.5</v>
      </c>
      <c r="P45" s="12">
        <v>1.0</v>
      </c>
      <c r="Q45" s="12">
        <v>1.0</v>
      </c>
      <c r="R45" s="12">
        <v>0.5</v>
      </c>
      <c r="S45" s="12">
        <v>1.0</v>
      </c>
      <c r="T45" s="12">
        <v>1.0</v>
      </c>
      <c r="U45" s="12">
        <v>0.5</v>
      </c>
      <c r="V45" s="12">
        <v>1.0</v>
      </c>
      <c r="W45" s="12">
        <v>1.0</v>
      </c>
      <c r="X45" s="12">
        <v>0.5</v>
      </c>
      <c r="Y45" s="12">
        <v>1.0</v>
      </c>
      <c r="Z45" s="12">
        <v>1.0</v>
      </c>
      <c r="AA45" s="12">
        <v>0.5</v>
      </c>
      <c r="AB45" s="12">
        <v>2.0</v>
      </c>
      <c r="AC45" s="12">
        <v>1.0</v>
      </c>
      <c r="AD45" s="12">
        <v>0.5</v>
      </c>
      <c r="AE45" s="12">
        <v>1.0</v>
      </c>
      <c r="AF45" s="12">
        <v>1.0</v>
      </c>
      <c r="AG45" s="12">
        <v>0.5</v>
      </c>
      <c r="AH45" s="12">
        <v>1.0</v>
      </c>
      <c r="AI45" s="12">
        <v>1.0</v>
      </c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5"/>
      <c r="CM45" s="1" t="str">
        <f t="shared" si="85"/>
        <v>Check</v>
      </c>
      <c r="CN45" s="21"/>
      <c r="CO45" s="21"/>
      <c r="CP45" s="21"/>
    </row>
    <row r="46" ht="21.75" customHeight="1">
      <c r="A46" s="2" t="s">
        <v>88</v>
      </c>
      <c r="B46" s="2">
        <v>408.0</v>
      </c>
      <c r="C46" s="2" t="s">
        <v>15</v>
      </c>
      <c r="D46" s="17">
        <f>IFERROR(__xludf.DUMMYFUNCTION("""COMPUTED_VALUE"""),424.31758688130003)</f>
        <v>424.3175869</v>
      </c>
      <c r="E46" s="1"/>
      <c r="F46" s="2" t="s">
        <v>113</v>
      </c>
      <c r="G46" s="18" t="s">
        <v>114</v>
      </c>
      <c r="H46" s="2">
        <f t="shared" si="87"/>
        <v>61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0.5</v>
      </c>
      <c r="Y46" s="2">
        <v>1.0</v>
      </c>
      <c r="Z46" s="2">
        <v>1.0</v>
      </c>
      <c r="AA46" s="2">
        <v>0.5</v>
      </c>
      <c r="AB46" s="2">
        <v>2.0</v>
      </c>
      <c r="AC46" s="2">
        <v>1.0</v>
      </c>
      <c r="AD46" s="2">
        <v>0.5</v>
      </c>
      <c r="AE46" s="2">
        <v>1.0</v>
      </c>
      <c r="AF46" s="2">
        <v>1.0</v>
      </c>
      <c r="AG46" s="2">
        <v>0.5</v>
      </c>
      <c r="AH46" s="2">
        <v>1.0</v>
      </c>
      <c r="AI46" s="2">
        <v>1.0</v>
      </c>
      <c r="AJ46" s="2">
        <v>0.5</v>
      </c>
      <c r="AK46" s="2">
        <v>2.0</v>
      </c>
      <c r="AL46" s="2">
        <v>1.0</v>
      </c>
      <c r="AM46" s="2">
        <v>0.5</v>
      </c>
      <c r="AN46" s="2">
        <v>1.0</v>
      </c>
      <c r="AO46" s="2">
        <v>1.0</v>
      </c>
      <c r="AP46" s="2">
        <v>0.5</v>
      </c>
      <c r="AQ46" s="2">
        <v>1.0</v>
      </c>
      <c r="AR46" s="2">
        <v>1.0</v>
      </c>
      <c r="AS46" s="2">
        <v>0.5</v>
      </c>
      <c r="AT46" s="2">
        <v>1.0</v>
      </c>
      <c r="AU46" s="2">
        <v>1.0</v>
      </c>
      <c r="AV46" s="2">
        <v>0.5</v>
      </c>
      <c r="AW46" s="2">
        <v>1.0</v>
      </c>
      <c r="AX46" s="2">
        <v>1.0</v>
      </c>
      <c r="AY46" s="2">
        <v>0.5</v>
      </c>
      <c r="AZ46" s="2">
        <v>1.0</v>
      </c>
      <c r="BA46" s="2">
        <v>1.0</v>
      </c>
      <c r="BB46" s="1">
        <v>0.5</v>
      </c>
      <c r="BC46" s="1">
        <v>1.0</v>
      </c>
      <c r="BD46" s="1">
        <v>1.0</v>
      </c>
      <c r="BE46" s="1">
        <v>0.5</v>
      </c>
      <c r="BF46" s="1">
        <v>1.0</v>
      </c>
      <c r="BG46" s="1">
        <v>1.0</v>
      </c>
      <c r="BH46" s="1">
        <v>0.5</v>
      </c>
      <c r="BI46" s="1">
        <v>1.0</v>
      </c>
      <c r="BJ46" s="1">
        <v>1.0</v>
      </c>
      <c r="BK46" s="1"/>
      <c r="BL46" s="1">
        <v>1.0</v>
      </c>
      <c r="BM46" s="1">
        <v>1.0</v>
      </c>
      <c r="BN46" s="1">
        <v>0.5</v>
      </c>
      <c r="BO46" s="1">
        <v>1.0</v>
      </c>
      <c r="BP46" s="1">
        <v>1.0</v>
      </c>
      <c r="BQ46" s="1">
        <v>0.5</v>
      </c>
      <c r="BR46" s="2">
        <v>2.0</v>
      </c>
      <c r="BS46" s="1">
        <v>1.0</v>
      </c>
      <c r="BT46" s="1">
        <v>0.5</v>
      </c>
      <c r="BU46" s="1">
        <v>1.0</v>
      </c>
      <c r="BV46" s="1">
        <v>1.0</v>
      </c>
      <c r="BW46" s="1">
        <v>0.5</v>
      </c>
      <c r="BX46" s="1">
        <v>1.0</v>
      </c>
      <c r="BY46" s="1">
        <v>1.0</v>
      </c>
      <c r="BZ46" s="1">
        <v>0.5</v>
      </c>
      <c r="CA46" s="1">
        <v>1.0</v>
      </c>
      <c r="CB46" s="1">
        <v>1.0</v>
      </c>
      <c r="CC46" s="1">
        <v>0.5</v>
      </c>
      <c r="CD46" s="1">
        <v>1.0</v>
      </c>
      <c r="CE46" s="1">
        <v>1.0</v>
      </c>
      <c r="CF46" s="1">
        <v>0.5</v>
      </c>
      <c r="CG46" s="1">
        <v>1.0</v>
      </c>
      <c r="CH46" s="1">
        <v>1.0</v>
      </c>
      <c r="CI46" s="1"/>
      <c r="CJ46" s="1">
        <v>0.5</v>
      </c>
      <c r="CK46" s="1">
        <v>1.0</v>
      </c>
      <c r="CL46" s="2">
        <v>1.0</v>
      </c>
      <c r="CM46" s="1" t="str">
        <f t="shared" si="85"/>
        <v>OK</v>
      </c>
      <c r="CN46" s="1">
        <v>0.5</v>
      </c>
      <c r="CO46" s="2">
        <v>2.0</v>
      </c>
      <c r="CP46" s="1">
        <v>1.0</v>
      </c>
    </row>
    <row r="47" ht="21.75" customHeight="1">
      <c r="A47" s="2" t="s">
        <v>58</v>
      </c>
      <c r="B47" s="2">
        <v>501.0</v>
      </c>
      <c r="C47" s="2" t="s">
        <v>39</v>
      </c>
      <c r="D47" s="17">
        <f>IFERROR(__xludf.DUMMYFUNCTION("""COMPUTED_VALUE"""),341.8921317887771)</f>
        <v>341.8921318</v>
      </c>
      <c r="E47" s="1"/>
      <c r="F47" s="2" t="s">
        <v>115</v>
      </c>
      <c r="G47" s="18" t="s">
        <v>116</v>
      </c>
      <c r="H47" s="2">
        <f t="shared" si="87"/>
        <v>58</v>
      </c>
      <c r="I47" s="2"/>
      <c r="J47" s="2"/>
      <c r="K47" s="2">
        <v>1.0</v>
      </c>
      <c r="L47" s="2"/>
      <c r="M47" s="2">
        <v>1.0</v>
      </c>
      <c r="N47" s="2">
        <v>1.0</v>
      </c>
      <c r="O47" s="2"/>
      <c r="P47" s="2">
        <v>1.0</v>
      </c>
      <c r="Q47" s="2">
        <v>1.0</v>
      </c>
      <c r="R47" s="2"/>
      <c r="S47" s="2">
        <v>1.0</v>
      </c>
      <c r="T47" s="2">
        <v>1.0</v>
      </c>
      <c r="U47" s="2"/>
      <c r="V47" s="2">
        <v>1.0</v>
      </c>
      <c r="W47" s="2">
        <v>1.0</v>
      </c>
      <c r="X47" s="2"/>
      <c r="Y47" s="2">
        <v>1.0</v>
      </c>
      <c r="Z47" s="2">
        <v>1.0</v>
      </c>
      <c r="AA47" s="2"/>
      <c r="AB47" s="2">
        <v>2.0</v>
      </c>
      <c r="AC47" s="2">
        <v>1.0</v>
      </c>
      <c r="AD47" s="2"/>
      <c r="AE47" s="2">
        <v>1.0</v>
      </c>
      <c r="AF47" s="2">
        <v>1.0</v>
      </c>
      <c r="AG47" s="2"/>
      <c r="AH47" s="2">
        <v>1.0</v>
      </c>
      <c r="AI47" s="2">
        <v>1.0</v>
      </c>
      <c r="AJ47" s="2"/>
      <c r="AK47" s="2">
        <v>1.0</v>
      </c>
      <c r="AL47" s="2">
        <v>1.0</v>
      </c>
      <c r="AM47" s="2"/>
      <c r="AN47" s="2">
        <v>1.0</v>
      </c>
      <c r="AO47" s="2">
        <v>1.0</v>
      </c>
      <c r="AP47" s="2"/>
      <c r="AQ47" s="2">
        <v>1.0</v>
      </c>
      <c r="AR47" s="2">
        <v>1.0</v>
      </c>
      <c r="AS47" s="2">
        <v>0.5</v>
      </c>
      <c r="AT47" s="2">
        <v>1.0</v>
      </c>
      <c r="AU47" s="2">
        <v>1.0</v>
      </c>
      <c r="AV47" s="2"/>
      <c r="AW47" s="2">
        <v>1.0</v>
      </c>
      <c r="AX47" s="2">
        <v>1.0</v>
      </c>
      <c r="AY47" s="2"/>
      <c r="AZ47" s="2">
        <v>1.0</v>
      </c>
      <c r="BA47" s="2"/>
      <c r="BB47" s="19"/>
      <c r="BC47" s="1">
        <v>1.0</v>
      </c>
      <c r="BD47" s="1">
        <v>1.0</v>
      </c>
      <c r="BE47" s="19"/>
      <c r="BF47" s="1">
        <v>1.0</v>
      </c>
      <c r="BG47" s="1">
        <v>1.0</v>
      </c>
      <c r="BH47" s="19"/>
      <c r="BI47" s="1">
        <v>1.0</v>
      </c>
      <c r="BJ47" s="1">
        <v>1.0</v>
      </c>
      <c r="BK47" s="19"/>
      <c r="BL47" s="1">
        <v>1.0</v>
      </c>
      <c r="BM47" s="1">
        <v>1.0</v>
      </c>
      <c r="BN47" s="19"/>
      <c r="BO47" s="1">
        <v>1.0</v>
      </c>
      <c r="BP47" s="1"/>
      <c r="BQ47" s="19"/>
      <c r="BR47" s="2">
        <v>1.0</v>
      </c>
      <c r="BS47" s="2">
        <v>2.0</v>
      </c>
      <c r="BT47" s="19"/>
      <c r="BU47" s="1">
        <v>1.0</v>
      </c>
      <c r="BV47" s="1">
        <v>1.0</v>
      </c>
      <c r="BW47" s="19"/>
      <c r="BX47" s="2">
        <v>2.0</v>
      </c>
      <c r="BY47" s="2">
        <v>1.0</v>
      </c>
      <c r="BZ47" s="19"/>
      <c r="CA47" s="2">
        <v>1.0</v>
      </c>
      <c r="CB47" s="1">
        <v>1.0</v>
      </c>
      <c r="CC47" s="19"/>
      <c r="CD47" s="2">
        <v>1.0</v>
      </c>
      <c r="CE47" s="1">
        <v>1.0</v>
      </c>
      <c r="CF47" s="19"/>
      <c r="CG47" s="2">
        <v>1.0</v>
      </c>
      <c r="CH47" s="1">
        <v>1.0</v>
      </c>
      <c r="CI47" s="1"/>
      <c r="CJ47" s="19"/>
      <c r="CK47" s="2">
        <v>1.0</v>
      </c>
      <c r="CL47" s="2">
        <v>1.0</v>
      </c>
      <c r="CM47" s="1" t="str">
        <f t="shared" si="85"/>
        <v>Check</v>
      </c>
      <c r="CN47" s="16">
        <v>0.5</v>
      </c>
      <c r="CO47" s="2">
        <v>2.0</v>
      </c>
      <c r="CP47" s="1">
        <v>1.0</v>
      </c>
    </row>
    <row r="48" ht="21.75" customHeight="1">
      <c r="A48" s="2" t="s">
        <v>117</v>
      </c>
      <c r="B48" s="2">
        <v>502.0</v>
      </c>
      <c r="C48" s="2" t="s">
        <v>39</v>
      </c>
      <c r="D48" s="17">
        <f>IFERROR(__xludf.DUMMYFUNCTION("""COMPUTED_VALUE"""),-441.93816759440324)</f>
        <v>-441.9381676</v>
      </c>
      <c r="E48" s="1"/>
      <c r="F48" s="2">
        <v>3000.0</v>
      </c>
      <c r="G48" s="4" t="s">
        <v>25</v>
      </c>
      <c r="H48" s="2">
        <f t="shared" si="87"/>
        <v>78</v>
      </c>
      <c r="I48" s="2"/>
      <c r="J48" s="2"/>
      <c r="K48" s="2">
        <v>1.0</v>
      </c>
      <c r="L48" s="2">
        <v>0.5</v>
      </c>
      <c r="M48" s="2">
        <v>1.0</v>
      </c>
      <c r="N48" s="2">
        <v>1.0</v>
      </c>
      <c r="O48" s="2">
        <v>0.5</v>
      </c>
      <c r="P48" s="2">
        <v>1.0</v>
      </c>
      <c r="Q48" s="2">
        <v>1.0</v>
      </c>
      <c r="R48" s="2">
        <v>0.5</v>
      </c>
      <c r="S48" s="2">
        <v>1.0</v>
      </c>
      <c r="T48" s="2">
        <v>1.0</v>
      </c>
      <c r="U48" s="2">
        <v>0.5</v>
      </c>
      <c r="V48" s="2">
        <v>1.0</v>
      </c>
      <c r="W48" s="2">
        <v>1.0</v>
      </c>
      <c r="X48" s="2">
        <v>0.5</v>
      </c>
      <c r="Y48" s="2">
        <v>1.0</v>
      </c>
      <c r="Z48" s="2">
        <v>1.0</v>
      </c>
      <c r="AA48" s="2">
        <v>0.5</v>
      </c>
      <c r="AB48" s="2">
        <v>2.0</v>
      </c>
      <c r="AC48" s="2">
        <v>1.0</v>
      </c>
      <c r="AD48" s="2">
        <v>0.5</v>
      </c>
      <c r="AE48" s="2">
        <v>1.0</v>
      </c>
      <c r="AF48" s="2">
        <v>1.0</v>
      </c>
      <c r="AG48" s="2">
        <v>0.5</v>
      </c>
      <c r="AH48" s="2">
        <v>1.0</v>
      </c>
      <c r="AI48" s="2">
        <v>1.0</v>
      </c>
      <c r="AJ48" s="2">
        <v>0.5</v>
      </c>
      <c r="AK48" s="2">
        <v>1.0</v>
      </c>
      <c r="AL48" s="2">
        <v>1.0</v>
      </c>
      <c r="AM48" s="2">
        <v>0.5</v>
      </c>
      <c r="AN48" s="2">
        <v>1.0</v>
      </c>
      <c r="AO48" s="2">
        <v>1.0</v>
      </c>
      <c r="AP48" s="2">
        <v>0.5</v>
      </c>
      <c r="AQ48" s="2">
        <v>1.0</v>
      </c>
      <c r="AR48" s="2">
        <v>1.0</v>
      </c>
      <c r="AS48" s="2"/>
      <c r="AT48" s="2">
        <v>1.0</v>
      </c>
      <c r="AU48" s="2">
        <v>1.0</v>
      </c>
      <c r="AV48" s="2">
        <v>0.5</v>
      </c>
      <c r="AW48" s="2">
        <v>1.0</v>
      </c>
      <c r="AX48" s="2">
        <v>1.0</v>
      </c>
      <c r="AY48" s="2">
        <v>0.5</v>
      </c>
      <c r="AZ48" s="2">
        <v>1.0</v>
      </c>
      <c r="BA48" s="2">
        <v>1.0</v>
      </c>
      <c r="BB48" s="1">
        <v>0.5</v>
      </c>
      <c r="BC48" s="1">
        <v>1.0</v>
      </c>
      <c r="BD48" s="1">
        <v>1.0</v>
      </c>
      <c r="BE48" s="1">
        <v>0.5</v>
      </c>
      <c r="BF48" s="1">
        <v>1.0</v>
      </c>
      <c r="BG48" s="1">
        <v>1.0</v>
      </c>
      <c r="BH48" s="1">
        <v>0.5</v>
      </c>
      <c r="BI48" s="1">
        <v>1.0</v>
      </c>
      <c r="BJ48" s="1">
        <v>1.0</v>
      </c>
      <c r="BK48" s="1"/>
      <c r="BL48" s="1">
        <v>1.0</v>
      </c>
      <c r="BM48" s="1">
        <v>1.0</v>
      </c>
      <c r="BN48" s="1"/>
      <c r="BO48" s="1">
        <v>1.0</v>
      </c>
      <c r="BP48" s="1">
        <v>1.0</v>
      </c>
      <c r="BQ48" s="1"/>
      <c r="BR48" s="2">
        <v>2.0</v>
      </c>
      <c r="BS48" s="1"/>
      <c r="BT48" s="1"/>
      <c r="BU48" s="1">
        <v>1.0</v>
      </c>
      <c r="BV48" s="1">
        <v>1.0</v>
      </c>
      <c r="BW48" s="2">
        <v>0.5</v>
      </c>
      <c r="BX48" s="1">
        <v>1.0</v>
      </c>
      <c r="BY48" s="1">
        <v>1.0</v>
      </c>
      <c r="BZ48" s="2">
        <v>0.5</v>
      </c>
      <c r="CA48" s="1">
        <v>1.0</v>
      </c>
      <c r="CB48" s="1">
        <v>1.0</v>
      </c>
      <c r="CC48" s="2"/>
      <c r="CD48" s="1">
        <v>1.0</v>
      </c>
      <c r="CE48" s="1">
        <v>1.0</v>
      </c>
      <c r="CF48" s="2"/>
      <c r="CG48" s="1">
        <v>1.0</v>
      </c>
      <c r="CH48" s="1">
        <v>1.0</v>
      </c>
      <c r="CI48" s="1"/>
      <c r="CJ48" s="2"/>
      <c r="CK48" s="1">
        <v>1.0</v>
      </c>
      <c r="CL48" s="2">
        <v>3.0</v>
      </c>
      <c r="CM48" s="1" t="str">
        <f t="shared" si="85"/>
        <v>Check</v>
      </c>
      <c r="CN48" s="2">
        <v>2.0</v>
      </c>
      <c r="CO48" s="2">
        <v>8.0</v>
      </c>
      <c r="CP48" s="2">
        <v>3.0</v>
      </c>
    </row>
    <row r="49" ht="21.75" customHeight="1">
      <c r="A49" s="2" t="s">
        <v>118</v>
      </c>
      <c r="B49" s="2">
        <v>502.0</v>
      </c>
      <c r="C49" s="2" t="s">
        <v>15</v>
      </c>
      <c r="D49" s="17">
        <f>IFERROR(__xludf.DUMMYFUNCTION("""COMPUTED_VALUE"""),-129.0224161275762)</f>
        <v>-129.0224161</v>
      </c>
      <c r="E49" s="1"/>
      <c r="F49" s="2" t="s">
        <v>56</v>
      </c>
      <c r="G49" s="18" t="s">
        <v>119</v>
      </c>
      <c r="H49" s="2">
        <f t="shared" si="87"/>
        <v>44.5</v>
      </c>
      <c r="I49" s="2"/>
      <c r="J49" s="2"/>
      <c r="K49" s="2">
        <v>1.0</v>
      </c>
      <c r="L49" s="2">
        <v>0.5</v>
      </c>
      <c r="M49" s="2">
        <v>1.0</v>
      </c>
      <c r="N49" s="2">
        <v>0.5</v>
      </c>
      <c r="O49" s="2">
        <v>0.5</v>
      </c>
      <c r="P49" s="2">
        <v>1.0</v>
      </c>
      <c r="Q49" s="2">
        <v>1.0</v>
      </c>
      <c r="R49" s="2">
        <v>0.5</v>
      </c>
      <c r="S49" s="2">
        <v>1.0</v>
      </c>
      <c r="T49" s="2">
        <v>1.0</v>
      </c>
      <c r="U49" s="2">
        <v>0.5</v>
      </c>
      <c r="V49" s="2">
        <v>1.0</v>
      </c>
      <c r="W49" s="2">
        <v>1.0</v>
      </c>
      <c r="X49" s="2">
        <v>0.5</v>
      </c>
      <c r="Y49" s="2">
        <v>1.0</v>
      </c>
      <c r="Z49" s="2">
        <v>1.0</v>
      </c>
      <c r="AA49" s="2">
        <v>0.5</v>
      </c>
      <c r="AB49" s="2">
        <v>2.0</v>
      </c>
      <c r="AC49" s="2">
        <v>1.0</v>
      </c>
      <c r="AD49" s="2">
        <v>0.5</v>
      </c>
      <c r="AE49" s="2">
        <v>1.0</v>
      </c>
      <c r="AF49" s="2">
        <v>1.0</v>
      </c>
      <c r="AG49" s="2">
        <v>0.5</v>
      </c>
      <c r="AH49" s="2">
        <v>1.0</v>
      </c>
      <c r="AI49" s="2">
        <v>1.0</v>
      </c>
      <c r="AJ49" s="2">
        <v>0.5</v>
      </c>
      <c r="AK49" s="2">
        <v>1.0</v>
      </c>
      <c r="AL49" s="2">
        <v>1.0</v>
      </c>
      <c r="AM49" s="2">
        <v>0.5</v>
      </c>
      <c r="AN49" s="2">
        <v>1.0</v>
      </c>
      <c r="AO49" s="2"/>
      <c r="AP49" s="2"/>
      <c r="AQ49" s="2">
        <v>1.0</v>
      </c>
      <c r="AR49" s="2">
        <v>1.0</v>
      </c>
      <c r="AS49" s="2">
        <v>0.5</v>
      </c>
      <c r="AT49" s="2">
        <v>1.0</v>
      </c>
      <c r="AU49" s="2">
        <v>1.0</v>
      </c>
      <c r="AV49" s="2">
        <v>0.5</v>
      </c>
      <c r="AW49" s="2">
        <v>1.0</v>
      </c>
      <c r="AX49" s="2">
        <v>1.0</v>
      </c>
      <c r="AY49" s="2">
        <v>0.5</v>
      </c>
      <c r="AZ49" s="2">
        <v>1.0</v>
      </c>
      <c r="BA49" s="2">
        <v>1.0</v>
      </c>
      <c r="BB49" s="1">
        <v>0.5</v>
      </c>
      <c r="BC49" s="1">
        <v>1.0</v>
      </c>
      <c r="BD49" s="1">
        <v>1.0</v>
      </c>
      <c r="BE49" s="1">
        <v>0.5</v>
      </c>
      <c r="BF49" s="1">
        <v>1.0</v>
      </c>
      <c r="BG49" s="1">
        <v>1.0</v>
      </c>
      <c r="BH49" s="1">
        <v>0.5</v>
      </c>
      <c r="BI49" s="1">
        <v>1.0</v>
      </c>
      <c r="BJ49" s="1">
        <v>1.0</v>
      </c>
      <c r="BK49" s="1"/>
      <c r="BL49" s="1">
        <v>1.0</v>
      </c>
      <c r="BM49" s="1">
        <v>1.0</v>
      </c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 t="str">
        <f t="shared" si="85"/>
        <v>Check</v>
      </c>
      <c r="CN49" s="1"/>
      <c r="CO49" s="1"/>
      <c r="CP49" s="1"/>
    </row>
    <row r="50" ht="21.75" customHeight="1">
      <c r="A50" s="12" t="s">
        <v>120</v>
      </c>
      <c r="B50" s="12">
        <v>502.0</v>
      </c>
      <c r="C50" s="12" t="s">
        <v>103</v>
      </c>
      <c r="D50" s="24">
        <f>IFERROR(__xludf.DUMMYFUNCTION("""COMPUTED_VALUE"""),-75.85151196028278)</f>
        <v>-75.85151196</v>
      </c>
      <c r="E50" s="13"/>
      <c r="F50" s="12" t="s">
        <v>121</v>
      </c>
      <c r="G50" s="20" t="s">
        <v>122</v>
      </c>
      <c r="H50" s="12">
        <f t="shared" si="87"/>
        <v>17.5</v>
      </c>
      <c r="I50" s="12"/>
      <c r="J50" s="12"/>
      <c r="K50" s="12"/>
      <c r="L50" s="12">
        <v>0.5</v>
      </c>
      <c r="M50" s="12">
        <v>1.0</v>
      </c>
      <c r="N50" s="12">
        <v>0.5</v>
      </c>
      <c r="O50" s="12"/>
      <c r="P50" s="12">
        <v>1.0</v>
      </c>
      <c r="Q50" s="12">
        <v>1.0</v>
      </c>
      <c r="R50" s="12"/>
      <c r="S50" s="12">
        <v>1.0</v>
      </c>
      <c r="T50" s="12">
        <v>2.0</v>
      </c>
      <c r="U50" s="12"/>
      <c r="V50" s="12">
        <v>1.0</v>
      </c>
      <c r="W50" s="12">
        <v>2.0</v>
      </c>
      <c r="X50" s="12"/>
      <c r="Y50" s="12">
        <v>1.0</v>
      </c>
      <c r="Z50" s="12">
        <v>1.0</v>
      </c>
      <c r="AA50" s="12"/>
      <c r="AB50" s="12">
        <v>2.0</v>
      </c>
      <c r="AC50" s="12"/>
      <c r="AD50" s="12"/>
      <c r="AE50" s="12">
        <v>1.0</v>
      </c>
      <c r="AF50" s="12">
        <v>1.0</v>
      </c>
      <c r="AG50" s="12"/>
      <c r="AH50" s="12"/>
      <c r="AI50" s="12">
        <v>1.0</v>
      </c>
      <c r="AJ50" s="12">
        <v>0.5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1" t="str">
        <f t="shared" si="85"/>
        <v>Check</v>
      </c>
      <c r="CN50" s="21"/>
      <c r="CO50" s="21"/>
      <c r="CP50" s="21"/>
    </row>
    <row r="51" ht="21.75" customHeight="1">
      <c r="A51" s="2" t="s">
        <v>123</v>
      </c>
      <c r="B51" s="2">
        <v>503.0</v>
      </c>
      <c r="C51" s="2" t="s">
        <v>39</v>
      </c>
      <c r="D51" s="17">
        <f>IFERROR(__xludf.DUMMYFUNCTION("""COMPUTED_VALUE"""),68.95637129532133)</f>
        <v>68.9563713</v>
      </c>
      <c r="E51" s="1"/>
      <c r="F51" s="2" t="s">
        <v>124</v>
      </c>
      <c r="G51" s="18" t="s">
        <v>125</v>
      </c>
      <c r="H51" s="2">
        <f t="shared" si="87"/>
        <v>42</v>
      </c>
      <c r="I51" s="2"/>
      <c r="J51" s="2"/>
      <c r="K51" s="2">
        <v>1.0</v>
      </c>
      <c r="L51" s="2"/>
      <c r="M51" s="2">
        <v>1.0</v>
      </c>
      <c r="N51" s="2">
        <v>1.0</v>
      </c>
      <c r="O51" s="2"/>
      <c r="P51" s="2">
        <v>1.0</v>
      </c>
      <c r="Q51" s="2">
        <v>1.0</v>
      </c>
      <c r="R51" s="2">
        <v>0.5</v>
      </c>
      <c r="S51" s="2">
        <v>1.0</v>
      </c>
      <c r="T51" s="2">
        <v>1.0</v>
      </c>
      <c r="U51" s="2"/>
      <c r="V51" s="2">
        <v>1.0</v>
      </c>
      <c r="W51" s="2">
        <v>1.0</v>
      </c>
      <c r="X51" s="2"/>
      <c r="Y51" s="2">
        <v>1.0</v>
      </c>
      <c r="Z51" s="2">
        <v>1.0</v>
      </c>
      <c r="AA51" s="2">
        <v>0.5</v>
      </c>
      <c r="AB51" s="2">
        <v>2.0</v>
      </c>
      <c r="AC51" s="2">
        <v>1.0</v>
      </c>
      <c r="AD51" s="2"/>
      <c r="AE51" s="2">
        <v>1.0</v>
      </c>
      <c r="AF51" s="2">
        <v>1.0</v>
      </c>
      <c r="AG51" s="2"/>
      <c r="AH51" s="2">
        <v>1.0</v>
      </c>
      <c r="AI51" s="2">
        <v>1.0</v>
      </c>
      <c r="AJ51" s="2"/>
      <c r="AK51" s="2">
        <v>1.0</v>
      </c>
      <c r="AL51" s="2">
        <v>1.0</v>
      </c>
      <c r="AM51" s="2"/>
      <c r="AN51" s="2">
        <v>1.0</v>
      </c>
      <c r="AO51" s="2">
        <v>1.0</v>
      </c>
      <c r="AP51" s="2">
        <v>0.5</v>
      </c>
      <c r="AQ51" s="2"/>
      <c r="AR51" s="2">
        <v>1.0</v>
      </c>
      <c r="AS51" s="2">
        <v>0.5</v>
      </c>
      <c r="AT51" s="2">
        <v>1.0</v>
      </c>
      <c r="AU51" s="2">
        <v>1.0</v>
      </c>
      <c r="AV51" s="2">
        <v>0.5</v>
      </c>
      <c r="AW51" s="2"/>
      <c r="AX51" s="2"/>
      <c r="AY51" s="2"/>
      <c r="AZ51" s="2"/>
      <c r="BA51" s="2"/>
      <c r="BB51" s="19"/>
      <c r="BC51" s="19"/>
      <c r="BD51" s="19"/>
      <c r="BE51" s="19"/>
      <c r="BF51" s="19"/>
      <c r="BG51" s="19"/>
      <c r="BH51" s="19"/>
      <c r="BI51" s="16">
        <v>1.0</v>
      </c>
      <c r="BJ51" s="16">
        <v>1.0</v>
      </c>
      <c r="BK51" s="19"/>
      <c r="BL51" s="16">
        <v>1.0</v>
      </c>
      <c r="BM51" s="16"/>
      <c r="BN51" s="19"/>
      <c r="BO51" s="16"/>
      <c r="BP51" s="16"/>
      <c r="BQ51" s="19"/>
      <c r="BR51" s="16">
        <v>2.0</v>
      </c>
      <c r="BS51" s="16"/>
      <c r="BT51" s="19"/>
      <c r="BU51" s="16"/>
      <c r="BV51" s="16"/>
      <c r="BW51" s="19"/>
      <c r="BX51" s="16"/>
      <c r="BY51" s="16"/>
      <c r="BZ51" s="19"/>
      <c r="CA51" s="16">
        <v>1.0</v>
      </c>
      <c r="CB51" s="16"/>
      <c r="CC51" s="19"/>
      <c r="CD51" s="16">
        <v>1.0</v>
      </c>
      <c r="CE51" s="16"/>
      <c r="CF51" s="19"/>
      <c r="CG51" s="16">
        <v>1.0</v>
      </c>
      <c r="CH51" s="16">
        <v>1.0</v>
      </c>
      <c r="CI51" s="16"/>
      <c r="CJ51" s="19"/>
      <c r="CK51" s="16">
        <v>1.0</v>
      </c>
      <c r="CL51" s="16">
        <v>1.0</v>
      </c>
      <c r="CM51" s="1" t="str">
        <f t="shared" si="85"/>
        <v>Check</v>
      </c>
      <c r="CN51" s="16">
        <v>0.5</v>
      </c>
      <c r="CO51" s="16">
        <v>2.0</v>
      </c>
      <c r="CP51" s="16">
        <v>1.0</v>
      </c>
    </row>
    <row r="52" ht="21.75" customHeight="1">
      <c r="A52" s="2" t="s">
        <v>126</v>
      </c>
      <c r="B52" s="2">
        <v>503.0</v>
      </c>
      <c r="C52" s="2" t="s">
        <v>36</v>
      </c>
      <c r="D52" s="17">
        <f>IFERROR(__xludf.DUMMYFUNCTION("""COMPUTED_VALUE"""),4.105461110275428)</f>
        <v>4.10546111</v>
      </c>
      <c r="E52" s="1"/>
      <c r="F52" s="2" t="s">
        <v>127</v>
      </c>
      <c r="G52" s="18" t="s">
        <v>128</v>
      </c>
      <c r="H52" s="2">
        <f t="shared" si="87"/>
        <v>36</v>
      </c>
      <c r="I52" s="2"/>
      <c r="J52" s="2"/>
      <c r="K52" s="2">
        <v>1.0</v>
      </c>
      <c r="L52" s="2"/>
      <c r="M52" s="2">
        <v>1.0</v>
      </c>
      <c r="N52" s="2">
        <v>1.0</v>
      </c>
      <c r="O52" s="2"/>
      <c r="P52" s="2">
        <v>1.0</v>
      </c>
      <c r="Q52" s="2"/>
      <c r="R52" s="2"/>
      <c r="S52" s="2">
        <v>1.0</v>
      </c>
      <c r="T52" s="2">
        <v>1.0</v>
      </c>
      <c r="U52" s="2"/>
      <c r="V52" s="2">
        <v>1.0</v>
      </c>
      <c r="W52" s="2">
        <v>1.0</v>
      </c>
      <c r="X52" s="2"/>
      <c r="Y52" s="2">
        <v>1.0</v>
      </c>
      <c r="Z52" s="2">
        <v>1.0</v>
      </c>
      <c r="AA52" s="2"/>
      <c r="AB52" s="2">
        <v>2.0</v>
      </c>
      <c r="AC52" s="2">
        <v>1.0</v>
      </c>
      <c r="AD52" s="2"/>
      <c r="AE52" s="2">
        <v>1.0</v>
      </c>
      <c r="AF52" s="2"/>
      <c r="AG52" s="2"/>
      <c r="AH52" s="2">
        <v>1.0</v>
      </c>
      <c r="AI52" s="2"/>
      <c r="AJ52" s="2"/>
      <c r="AK52" s="2">
        <v>1.0</v>
      </c>
      <c r="AL52" s="2"/>
      <c r="AM52" s="2"/>
      <c r="AN52" s="2">
        <v>1.0</v>
      </c>
      <c r="AO52" s="2"/>
      <c r="AP52" s="2">
        <v>0.5</v>
      </c>
      <c r="AQ52" s="2"/>
      <c r="AR52" s="2">
        <v>1.0</v>
      </c>
      <c r="AS52" s="2">
        <v>0.5</v>
      </c>
      <c r="AT52" s="2">
        <v>1.0</v>
      </c>
      <c r="AU52" s="2"/>
      <c r="AV52" s="2"/>
      <c r="AW52" s="2">
        <v>1.0</v>
      </c>
      <c r="AX52" s="2"/>
      <c r="AY52" s="2"/>
      <c r="AZ52" s="2">
        <v>1.0</v>
      </c>
      <c r="BA52" s="2"/>
      <c r="BB52" s="19"/>
      <c r="BC52" s="1">
        <v>1.0</v>
      </c>
      <c r="BD52" s="19"/>
      <c r="BE52" s="19"/>
      <c r="BF52" s="1">
        <v>1.0</v>
      </c>
      <c r="BG52" s="19"/>
      <c r="BH52" s="19"/>
      <c r="BI52" s="1">
        <v>1.0</v>
      </c>
      <c r="BJ52" s="19"/>
      <c r="BK52" s="19"/>
      <c r="BL52" s="1"/>
      <c r="BM52" s="19"/>
      <c r="BN52" s="19"/>
      <c r="BO52" s="1"/>
      <c r="BP52" s="19"/>
      <c r="BQ52" s="19"/>
      <c r="BR52" s="2">
        <v>2.0</v>
      </c>
      <c r="BS52" s="19"/>
      <c r="BT52" s="19"/>
      <c r="BU52" s="1">
        <v>1.0</v>
      </c>
      <c r="BV52" s="19"/>
      <c r="BW52" s="19"/>
      <c r="BX52" s="1">
        <v>1.0</v>
      </c>
      <c r="BY52" s="19"/>
      <c r="BZ52" s="19"/>
      <c r="CA52" s="1">
        <v>1.0</v>
      </c>
      <c r="CB52" s="19"/>
      <c r="CC52" s="19"/>
      <c r="CD52" s="1">
        <v>1.0</v>
      </c>
      <c r="CE52" s="19"/>
      <c r="CF52" s="19"/>
      <c r="CG52" s="1">
        <v>1.0</v>
      </c>
      <c r="CH52" s="19"/>
      <c r="CI52" s="19"/>
      <c r="CJ52" s="19"/>
      <c r="CK52" s="1">
        <v>1.0</v>
      </c>
      <c r="CL52" s="16">
        <v>1.0</v>
      </c>
      <c r="CM52" s="1" t="str">
        <f t="shared" si="85"/>
        <v>OK</v>
      </c>
      <c r="CN52" s="16"/>
      <c r="CO52" s="2">
        <v>2.0</v>
      </c>
      <c r="CP52" s="19"/>
    </row>
    <row r="53" ht="21.75" customHeight="1">
      <c r="A53" s="2" t="s">
        <v>129</v>
      </c>
      <c r="B53" s="2">
        <v>505.0</v>
      </c>
      <c r="C53" s="2" t="s">
        <v>15</v>
      </c>
      <c r="D53" s="17">
        <f>IFERROR(__xludf.DUMMYFUNCTION("""COMPUTED_VALUE"""),-369.6187753873928)</f>
        <v>-369.6187754</v>
      </c>
      <c r="E53" s="1"/>
      <c r="F53" s="2" t="s">
        <v>130</v>
      </c>
      <c r="G53" s="18" t="s">
        <v>131</v>
      </c>
      <c r="H53" s="2">
        <f t="shared" si="87"/>
        <v>68.5</v>
      </c>
      <c r="I53" s="2"/>
      <c r="J53" s="2"/>
      <c r="K53" s="2"/>
      <c r="L53" s="2">
        <v>0.5</v>
      </c>
      <c r="M53" s="2">
        <v>1.0</v>
      </c>
      <c r="N53" s="2">
        <v>1.0</v>
      </c>
      <c r="O53" s="2">
        <v>0.5</v>
      </c>
      <c r="P53" s="2">
        <v>1.0</v>
      </c>
      <c r="Q53" s="2">
        <v>1.0</v>
      </c>
      <c r="R53" s="2">
        <v>0.5</v>
      </c>
      <c r="S53" s="2">
        <v>1.0</v>
      </c>
      <c r="T53" s="2">
        <v>1.0</v>
      </c>
      <c r="U53" s="2">
        <v>0.5</v>
      </c>
      <c r="V53" s="2">
        <v>1.0</v>
      </c>
      <c r="W53" s="2">
        <v>1.0</v>
      </c>
      <c r="X53" s="2">
        <v>0.5</v>
      </c>
      <c r="Y53" s="2">
        <v>1.0</v>
      </c>
      <c r="Z53" s="2">
        <v>1.0</v>
      </c>
      <c r="AA53" s="2">
        <v>0.5</v>
      </c>
      <c r="AB53" s="2">
        <v>2.0</v>
      </c>
      <c r="AC53" s="2">
        <v>1.0</v>
      </c>
      <c r="AD53" s="2">
        <v>0.5</v>
      </c>
      <c r="AE53" s="2">
        <v>1.0</v>
      </c>
      <c r="AF53" s="2">
        <v>1.0</v>
      </c>
      <c r="AG53" s="2">
        <v>0.5</v>
      </c>
      <c r="AH53" s="2">
        <v>1.0</v>
      </c>
      <c r="AI53" s="2">
        <v>1.0</v>
      </c>
      <c r="AJ53" s="2">
        <v>0.5</v>
      </c>
      <c r="AK53" s="2">
        <v>1.0</v>
      </c>
      <c r="AL53" s="2">
        <v>1.0</v>
      </c>
      <c r="AM53" s="2">
        <v>0.5</v>
      </c>
      <c r="AN53" s="2">
        <v>1.0</v>
      </c>
      <c r="AO53" s="2">
        <v>1.0</v>
      </c>
      <c r="AP53" s="2">
        <v>0.5</v>
      </c>
      <c r="AQ53" s="2">
        <v>1.0</v>
      </c>
      <c r="AR53" s="2">
        <v>1.0</v>
      </c>
      <c r="AS53" s="2">
        <v>0.5</v>
      </c>
      <c r="AT53" s="2">
        <v>1.0</v>
      </c>
      <c r="AU53" s="2">
        <v>1.0</v>
      </c>
      <c r="AV53" s="2">
        <v>0.5</v>
      </c>
      <c r="AW53" s="2">
        <v>1.0</v>
      </c>
      <c r="AX53" s="2">
        <v>1.0</v>
      </c>
      <c r="AY53" s="2">
        <v>0.5</v>
      </c>
      <c r="AZ53" s="2">
        <v>1.0</v>
      </c>
      <c r="BA53" s="2">
        <v>1.0</v>
      </c>
      <c r="BB53" s="1">
        <v>0.5</v>
      </c>
      <c r="BC53" s="1">
        <v>1.0</v>
      </c>
      <c r="BD53" s="1">
        <v>1.0</v>
      </c>
      <c r="BE53" s="1">
        <v>0.5</v>
      </c>
      <c r="BF53" s="1">
        <v>1.0</v>
      </c>
      <c r="BG53" s="1">
        <v>1.0</v>
      </c>
      <c r="BH53" s="1">
        <v>0.5</v>
      </c>
      <c r="BI53" s="1">
        <v>1.0</v>
      </c>
      <c r="BJ53" s="1">
        <v>1.0</v>
      </c>
      <c r="BK53" s="1"/>
      <c r="BL53" s="1">
        <v>1.0</v>
      </c>
      <c r="BM53" s="1">
        <v>1.0</v>
      </c>
      <c r="BN53" s="1">
        <v>0.5</v>
      </c>
      <c r="BO53" s="1">
        <v>1.0</v>
      </c>
      <c r="BP53" s="1">
        <v>1.0</v>
      </c>
      <c r="BQ53" s="1">
        <v>0.5</v>
      </c>
      <c r="BR53" s="2">
        <v>2.0</v>
      </c>
      <c r="BS53" s="1">
        <v>1.0</v>
      </c>
      <c r="BT53" s="1">
        <v>0.5</v>
      </c>
      <c r="BU53" s="1">
        <v>1.0</v>
      </c>
      <c r="BV53" s="1">
        <v>1.0</v>
      </c>
      <c r="BW53" s="1"/>
      <c r="BX53" s="1"/>
      <c r="BY53" s="1">
        <v>1.0</v>
      </c>
      <c r="BZ53" s="2">
        <v>0.5</v>
      </c>
      <c r="CA53" s="2">
        <v>1.0</v>
      </c>
      <c r="CB53" s="1">
        <v>1.0</v>
      </c>
      <c r="CC53" s="2">
        <v>0.5</v>
      </c>
      <c r="CD53" s="2">
        <v>1.0</v>
      </c>
      <c r="CE53" s="1">
        <v>1.0</v>
      </c>
      <c r="CF53" s="2">
        <v>0.5</v>
      </c>
      <c r="CG53" s="2">
        <v>1.0</v>
      </c>
      <c r="CH53" s="1">
        <v>1.0</v>
      </c>
      <c r="CI53" s="1"/>
      <c r="CJ53" s="2">
        <v>0.5</v>
      </c>
      <c r="CK53" s="2">
        <v>1.0</v>
      </c>
      <c r="CL53" s="2">
        <v>1.0</v>
      </c>
      <c r="CM53" s="1" t="str">
        <f t="shared" si="85"/>
        <v>OK</v>
      </c>
      <c r="CN53" s="2">
        <v>0.5</v>
      </c>
      <c r="CO53" s="2">
        <v>2.0</v>
      </c>
      <c r="CP53" s="1">
        <v>1.0</v>
      </c>
    </row>
    <row r="54" ht="21.75" customHeight="1">
      <c r="A54" s="2" t="s">
        <v>132</v>
      </c>
      <c r="B54" s="2">
        <v>506.0</v>
      </c>
      <c r="C54" s="2" t="s">
        <v>15</v>
      </c>
      <c r="D54" s="17">
        <f>IFERROR(__xludf.DUMMYFUNCTION("""COMPUTED_VALUE"""),-516.8951406649612)</f>
        <v>-516.8951407</v>
      </c>
      <c r="E54" s="1"/>
      <c r="F54" s="2" t="s">
        <v>133</v>
      </c>
      <c r="G54" s="18" t="s">
        <v>134</v>
      </c>
      <c r="H54" s="2">
        <f t="shared" si="87"/>
        <v>59.5</v>
      </c>
      <c r="I54" s="2"/>
      <c r="J54" s="2"/>
      <c r="K54" s="2">
        <v>1.0</v>
      </c>
      <c r="L54" s="2">
        <v>0.5</v>
      </c>
      <c r="M54" s="2">
        <v>1.0</v>
      </c>
      <c r="N54" s="2">
        <v>1.0</v>
      </c>
      <c r="O54" s="2">
        <v>0.5</v>
      </c>
      <c r="P54" s="2">
        <v>1.0</v>
      </c>
      <c r="Q54" s="2">
        <v>1.0</v>
      </c>
      <c r="R54" s="2">
        <v>0.5</v>
      </c>
      <c r="S54" s="2">
        <v>1.0</v>
      </c>
      <c r="T54" s="2">
        <v>1.0</v>
      </c>
      <c r="U54" s="2">
        <v>0.5</v>
      </c>
      <c r="V54" s="2">
        <v>1.0</v>
      </c>
      <c r="W54" s="2">
        <v>1.0</v>
      </c>
      <c r="X54" s="2">
        <v>0.5</v>
      </c>
      <c r="Y54" s="2">
        <v>1.0</v>
      </c>
      <c r="Z54" s="2">
        <v>1.0</v>
      </c>
      <c r="AA54" s="2">
        <v>0.5</v>
      </c>
      <c r="AB54" s="2">
        <v>2.0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>
        <v>1.0</v>
      </c>
      <c r="AP54" s="2">
        <v>0.5</v>
      </c>
      <c r="AQ54" s="2">
        <v>1.0</v>
      </c>
      <c r="AR54" s="2">
        <v>1.0</v>
      </c>
      <c r="AS54" s="2">
        <v>0.5</v>
      </c>
      <c r="AT54" s="2">
        <v>1.0</v>
      </c>
      <c r="AU54" s="2">
        <v>1.0</v>
      </c>
      <c r="AV54" s="2">
        <v>0.5</v>
      </c>
      <c r="AW54" s="2">
        <v>1.0</v>
      </c>
      <c r="AX54" s="2">
        <v>1.0</v>
      </c>
      <c r="AY54" s="2">
        <v>0.5</v>
      </c>
      <c r="AZ54" s="2">
        <v>1.0</v>
      </c>
      <c r="BA54" s="2">
        <v>1.0</v>
      </c>
      <c r="BB54" s="1">
        <v>0.5</v>
      </c>
      <c r="BC54" s="1">
        <v>1.0</v>
      </c>
      <c r="BD54" s="1">
        <v>1.0</v>
      </c>
      <c r="BE54" s="1">
        <v>0.5</v>
      </c>
      <c r="BF54" s="1">
        <v>1.0</v>
      </c>
      <c r="BG54" s="1"/>
      <c r="BH54" s="1"/>
      <c r="BI54" s="1">
        <v>1.0</v>
      </c>
      <c r="BJ54" s="1">
        <v>1.0</v>
      </c>
      <c r="BK54" s="2"/>
      <c r="BL54" s="1">
        <v>1.0</v>
      </c>
      <c r="BM54" s="1">
        <v>1.0</v>
      </c>
      <c r="BN54" s="2">
        <v>0.5</v>
      </c>
      <c r="BO54" s="1">
        <v>1.0</v>
      </c>
      <c r="BP54" s="1">
        <v>1.0</v>
      </c>
      <c r="BQ54" s="2">
        <v>0.5</v>
      </c>
      <c r="BR54" s="2">
        <v>2.0</v>
      </c>
      <c r="BS54" s="1">
        <v>1.0</v>
      </c>
      <c r="BT54" s="2">
        <v>0.5</v>
      </c>
      <c r="BU54" s="1">
        <v>1.0</v>
      </c>
      <c r="BV54" s="1">
        <v>1.0</v>
      </c>
      <c r="BW54" s="2">
        <v>0.5</v>
      </c>
      <c r="BX54" s="1">
        <v>1.0</v>
      </c>
      <c r="BY54" s="1">
        <v>1.0</v>
      </c>
      <c r="BZ54" s="2">
        <v>0.5</v>
      </c>
      <c r="CA54" s="1">
        <v>1.0</v>
      </c>
      <c r="CB54" s="1">
        <v>1.0</v>
      </c>
      <c r="CC54" s="2">
        <v>0.5</v>
      </c>
      <c r="CD54" s="1">
        <v>1.0</v>
      </c>
      <c r="CE54" s="1">
        <v>1.0</v>
      </c>
      <c r="CF54" s="2">
        <v>0.5</v>
      </c>
      <c r="CG54" s="1">
        <v>1.0</v>
      </c>
      <c r="CH54" s="1">
        <v>1.0</v>
      </c>
      <c r="CI54" s="1"/>
      <c r="CJ54" s="2">
        <v>0.5</v>
      </c>
      <c r="CK54" s="1">
        <v>1.0</v>
      </c>
      <c r="CL54" s="2">
        <v>1.0</v>
      </c>
      <c r="CM54" s="1" t="str">
        <f t="shared" si="85"/>
        <v>OK</v>
      </c>
      <c r="CN54" s="2">
        <v>0.5</v>
      </c>
      <c r="CO54" s="2">
        <v>2.0</v>
      </c>
      <c r="CP54" s="1">
        <v>1.0</v>
      </c>
    </row>
    <row r="55" ht="21.75" customHeight="1">
      <c r="A55" s="2" t="s">
        <v>41</v>
      </c>
      <c r="B55" s="2">
        <v>506.0</v>
      </c>
      <c r="C55" s="2" t="s">
        <v>15</v>
      </c>
      <c r="D55" s="17">
        <f>IFERROR(__xludf.DUMMYFUNCTION("""COMPUTED_VALUE"""),-263.8102903565514)</f>
        <v>-263.8102904</v>
      </c>
      <c r="E55" s="1"/>
      <c r="F55" s="2" t="s">
        <v>135</v>
      </c>
      <c r="G55" s="18" t="s">
        <v>136</v>
      </c>
      <c r="H55" s="2">
        <f t="shared" si="87"/>
        <v>69.5</v>
      </c>
      <c r="I55" s="2"/>
      <c r="J55" s="2"/>
      <c r="K55" s="2">
        <v>1.0</v>
      </c>
      <c r="L55" s="2">
        <v>0.5</v>
      </c>
      <c r="M55" s="2">
        <v>1.0</v>
      </c>
      <c r="N55" s="2">
        <v>1.0</v>
      </c>
      <c r="O55" s="2">
        <v>0.5</v>
      </c>
      <c r="P55" s="2">
        <v>1.0</v>
      </c>
      <c r="Q55" s="2">
        <v>1.0</v>
      </c>
      <c r="R55" s="2">
        <v>0.5</v>
      </c>
      <c r="S55" s="2">
        <v>1.0</v>
      </c>
      <c r="T55" s="2">
        <v>1.0</v>
      </c>
      <c r="U55" s="2">
        <v>0.5</v>
      </c>
      <c r="V55" s="2">
        <v>1.0</v>
      </c>
      <c r="W55" s="2">
        <v>1.0</v>
      </c>
      <c r="X55" s="2">
        <v>0.5</v>
      </c>
      <c r="Y55" s="2">
        <v>1.0</v>
      </c>
      <c r="Z55" s="2">
        <v>1.0</v>
      </c>
      <c r="AA55" s="2">
        <v>0.5</v>
      </c>
      <c r="AB55" s="2">
        <v>2.0</v>
      </c>
      <c r="AC55" s="2">
        <v>1.0</v>
      </c>
      <c r="AD55" s="2">
        <v>0.5</v>
      </c>
      <c r="AE55" s="2">
        <v>1.0</v>
      </c>
      <c r="AF55" s="2">
        <v>1.0</v>
      </c>
      <c r="AG55" s="2">
        <v>0.5</v>
      </c>
      <c r="AH55" s="2">
        <v>1.0</v>
      </c>
      <c r="AI55" s="2">
        <v>1.0</v>
      </c>
      <c r="AJ55" s="2">
        <v>0.5</v>
      </c>
      <c r="AK55" s="2">
        <v>1.0</v>
      </c>
      <c r="AL55" s="2">
        <v>1.0</v>
      </c>
      <c r="AM55" s="2">
        <v>0.5</v>
      </c>
      <c r="AN55" s="2">
        <v>1.0</v>
      </c>
      <c r="AO55" s="2">
        <v>1.0</v>
      </c>
      <c r="AP55" s="2">
        <v>0.5</v>
      </c>
      <c r="AQ55" s="2">
        <v>1.0</v>
      </c>
      <c r="AR55" s="2">
        <v>1.0</v>
      </c>
      <c r="AS55" s="2">
        <v>0.5</v>
      </c>
      <c r="AT55" s="2">
        <v>1.0</v>
      </c>
      <c r="AU55" s="2">
        <v>1.0</v>
      </c>
      <c r="AV55" s="2">
        <v>0.5</v>
      </c>
      <c r="AW55" s="2">
        <v>1.0</v>
      </c>
      <c r="AX55" s="2">
        <v>1.0</v>
      </c>
      <c r="AY55" s="2">
        <v>0.5</v>
      </c>
      <c r="AZ55" s="2">
        <v>1.0</v>
      </c>
      <c r="BA55" s="2">
        <v>1.0</v>
      </c>
      <c r="BB55" s="1">
        <v>0.5</v>
      </c>
      <c r="BC55" s="1">
        <v>1.0</v>
      </c>
      <c r="BD55" s="1">
        <v>1.0</v>
      </c>
      <c r="BE55" s="1">
        <v>0.5</v>
      </c>
      <c r="BF55" s="1">
        <v>1.0</v>
      </c>
      <c r="BG55" s="1"/>
      <c r="BH55" s="1"/>
      <c r="BI55" s="1">
        <v>1.0</v>
      </c>
      <c r="BJ55" s="1">
        <v>1.0</v>
      </c>
      <c r="BK55" s="2"/>
      <c r="BL55" s="1">
        <v>1.0</v>
      </c>
      <c r="BM55" s="1">
        <v>1.0</v>
      </c>
      <c r="BN55" s="2">
        <v>0.5</v>
      </c>
      <c r="BO55" s="1">
        <v>1.0</v>
      </c>
      <c r="BP55" s="1">
        <v>1.0</v>
      </c>
      <c r="BQ55" s="2">
        <v>0.5</v>
      </c>
      <c r="BR55" s="2">
        <v>2.0</v>
      </c>
      <c r="BS55" s="1">
        <v>1.0</v>
      </c>
      <c r="BT55" s="2">
        <v>0.5</v>
      </c>
      <c r="BU55" s="1">
        <v>1.0</v>
      </c>
      <c r="BV55" s="1">
        <v>1.0</v>
      </c>
      <c r="BW55" s="2">
        <v>0.5</v>
      </c>
      <c r="BX55" s="1">
        <v>1.0</v>
      </c>
      <c r="BY55" s="1">
        <v>1.0</v>
      </c>
      <c r="BZ55" s="2">
        <v>0.5</v>
      </c>
      <c r="CA55" s="1">
        <v>1.0</v>
      </c>
      <c r="CB55" s="1">
        <v>1.0</v>
      </c>
      <c r="CC55" s="2">
        <v>0.5</v>
      </c>
      <c r="CD55" s="1">
        <v>1.0</v>
      </c>
      <c r="CE55" s="1">
        <v>1.0</v>
      </c>
      <c r="CF55" s="2">
        <v>0.5</v>
      </c>
      <c r="CG55" s="1">
        <v>1.0</v>
      </c>
      <c r="CH55" s="1">
        <v>1.0</v>
      </c>
      <c r="CI55" s="1"/>
      <c r="CJ55" s="2">
        <v>0.5</v>
      </c>
      <c r="CK55" s="1">
        <v>1.0</v>
      </c>
      <c r="CL55" s="2">
        <v>1.0</v>
      </c>
      <c r="CM55" s="1" t="str">
        <f t="shared" si="85"/>
        <v>OK</v>
      </c>
      <c r="CN55" s="2">
        <v>0.5</v>
      </c>
      <c r="CO55" s="2">
        <v>2.0</v>
      </c>
      <c r="CP55" s="1">
        <v>1.0</v>
      </c>
    </row>
    <row r="56" ht="21.75" customHeight="1">
      <c r="A56" s="2" t="s">
        <v>137</v>
      </c>
      <c r="B56" s="2">
        <v>507.0</v>
      </c>
      <c r="C56" s="2" t="s">
        <v>15</v>
      </c>
      <c r="D56" s="17">
        <f>IFERROR(__xludf.DUMMYFUNCTION("""COMPUTED_VALUE"""),14.827892282232824)</f>
        <v>14.82789228</v>
      </c>
      <c r="E56" s="1"/>
      <c r="F56" s="2" t="s">
        <v>138</v>
      </c>
      <c r="G56" s="18" t="s">
        <v>139</v>
      </c>
      <c r="H56" s="2">
        <f t="shared" si="87"/>
        <v>74</v>
      </c>
      <c r="I56" s="2"/>
      <c r="J56" s="2"/>
      <c r="K56" s="2">
        <v>1.0</v>
      </c>
      <c r="L56" s="2">
        <v>0.5</v>
      </c>
      <c r="M56" s="2">
        <v>1.0</v>
      </c>
      <c r="N56" s="2">
        <v>1.0</v>
      </c>
      <c r="O56" s="2">
        <v>0.5</v>
      </c>
      <c r="P56" s="2"/>
      <c r="Q56" s="2">
        <v>1.0</v>
      </c>
      <c r="R56" s="2">
        <v>0.5</v>
      </c>
      <c r="S56" s="2">
        <v>1.0</v>
      </c>
      <c r="T56" s="2">
        <v>1.0</v>
      </c>
      <c r="U56" s="2">
        <v>0.5</v>
      </c>
      <c r="V56" s="2">
        <v>1.0</v>
      </c>
      <c r="W56" s="2">
        <v>1.0</v>
      </c>
      <c r="X56" s="2">
        <v>0.5</v>
      </c>
      <c r="Y56" s="2">
        <v>1.0</v>
      </c>
      <c r="Z56" s="2">
        <v>1.0</v>
      </c>
      <c r="AA56" s="2">
        <v>0.5</v>
      </c>
      <c r="AB56" s="2">
        <v>2.0</v>
      </c>
      <c r="AC56" s="2">
        <v>1.0</v>
      </c>
      <c r="AD56" s="2">
        <v>0.5</v>
      </c>
      <c r="AE56" s="2">
        <v>1.0</v>
      </c>
      <c r="AF56" s="2">
        <v>2.0</v>
      </c>
      <c r="AG56" s="2">
        <v>1.0</v>
      </c>
      <c r="AH56" s="2">
        <v>2.0</v>
      </c>
      <c r="AI56" s="2">
        <v>2.0</v>
      </c>
      <c r="AJ56" s="2">
        <v>0.5</v>
      </c>
      <c r="AK56" s="2">
        <v>1.0</v>
      </c>
      <c r="AL56" s="2">
        <v>2.0</v>
      </c>
      <c r="AM56" s="2">
        <v>0.5</v>
      </c>
      <c r="AN56" s="2">
        <v>1.0</v>
      </c>
      <c r="AO56" s="2">
        <v>2.0</v>
      </c>
      <c r="AP56" s="2">
        <v>0.5</v>
      </c>
      <c r="AQ56" s="2">
        <v>1.0</v>
      </c>
      <c r="AR56" s="2">
        <v>1.0</v>
      </c>
      <c r="AS56" s="2">
        <v>0.5</v>
      </c>
      <c r="AT56" s="2">
        <v>1.0</v>
      </c>
      <c r="AU56" s="2">
        <v>1.0</v>
      </c>
      <c r="AV56" s="2">
        <v>0.5</v>
      </c>
      <c r="AW56" s="2">
        <v>1.0</v>
      </c>
      <c r="AX56" s="2">
        <v>1.0</v>
      </c>
      <c r="AY56" s="2">
        <v>0.5</v>
      </c>
      <c r="AZ56" s="2">
        <v>1.0</v>
      </c>
      <c r="BA56" s="2">
        <v>1.0</v>
      </c>
      <c r="BB56" s="1">
        <v>0.5</v>
      </c>
      <c r="BC56" s="1">
        <v>1.0</v>
      </c>
      <c r="BD56" s="1">
        <v>1.0</v>
      </c>
      <c r="BE56" s="1">
        <v>0.5</v>
      </c>
      <c r="BF56" s="1">
        <v>1.0</v>
      </c>
      <c r="BG56" s="1"/>
      <c r="BH56" s="1"/>
      <c r="BI56" s="1">
        <v>1.0</v>
      </c>
      <c r="BJ56" s="1">
        <v>1.0</v>
      </c>
      <c r="BK56" s="2"/>
      <c r="BL56" s="1">
        <v>1.0</v>
      </c>
      <c r="BM56" s="1">
        <v>1.0</v>
      </c>
      <c r="BN56" s="2">
        <v>0.5</v>
      </c>
      <c r="BO56" s="1">
        <v>1.0</v>
      </c>
      <c r="BP56" s="1">
        <v>1.0</v>
      </c>
      <c r="BQ56" s="2">
        <v>0.5</v>
      </c>
      <c r="BR56" s="2">
        <v>2.0</v>
      </c>
      <c r="BS56" s="1">
        <v>1.0</v>
      </c>
      <c r="BT56" s="2">
        <v>0.5</v>
      </c>
      <c r="BU56" s="1">
        <v>1.0</v>
      </c>
      <c r="BV56" s="1">
        <v>1.0</v>
      </c>
      <c r="BW56" s="2">
        <v>0.5</v>
      </c>
      <c r="BX56" s="1">
        <v>1.0</v>
      </c>
      <c r="BY56" s="1">
        <v>1.0</v>
      </c>
      <c r="BZ56" s="2">
        <v>0.5</v>
      </c>
      <c r="CA56" s="1">
        <v>1.0</v>
      </c>
      <c r="CB56" s="1">
        <v>1.0</v>
      </c>
      <c r="CC56" s="2">
        <v>0.5</v>
      </c>
      <c r="CD56" s="1">
        <v>1.0</v>
      </c>
      <c r="CE56" s="1">
        <v>1.0</v>
      </c>
      <c r="CF56" s="2">
        <v>0.5</v>
      </c>
      <c r="CG56" s="1">
        <v>1.0</v>
      </c>
      <c r="CH56" s="1">
        <v>1.0</v>
      </c>
      <c r="CI56" s="1"/>
      <c r="CJ56" s="2">
        <v>0.5</v>
      </c>
      <c r="CK56" s="1">
        <v>1.0</v>
      </c>
      <c r="CL56" s="2">
        <v>1.0</v>
      </c>
      <c r="CM56" s="1" t="str">
        <f t="shared" si="85"/>
        <v>OK</v>
      </c>
      <c r="CN56" s="2">
        <v>0.5</v>
      </c>
      <c r="CO56" s="2">
        <v>2.0</v>
      </c>
      <c r="CP56" s="1">
        <v>1.0</v>
      </c>
    </row>
    <row r="57" ht="21.75" customHeight="1">
      <c r="A57" s="2" t="s">
        <v>140</v>
      </c>
      <c r="B57" s="2">
        <v>507.0</v>
      </c>
      <c r="C57" s="2" t="s">
        <v>15</v>
      </c>
      <c r="D57" s="17">
        <f>IFERROR(__xludf.DUMMYFUNCTION("""COMPUTED_VALUE"""),-108.81029035655138)</f>
        <v>-108.8102904</v>
      </c>
      <c r="E57" s="1"/>
      <c r="F57" s="2" t="s">
        <v>77</v>
      </c>
      <c r="G57" s="18" t="s">
        <v>109</v>
      </c>
      <c r="H57" s="2">
        <f t="shared" si="87"/>
        <v>69.5</v>
      </c>
      <c r="I57" s="2"/>
      <c r="J57" s="2"/>
      <c r="K57" s="2">
        <v>1.0</v>
      </c>
      <c r="L57" s="2">
        <v>0.5</v>
      </c>
      <c r="M57" s="2">
        <v>1.0</v>
      </c>
      <c r="N57" s="2">
        <v>1.0</v>
      </c>
      <c r="O57" s="2">
        <v>0.5</v>
      </c>
      <c r="P57" s="2">
        <v>1.0</v>
      </c>
      <c r="Q57" s="2">
        <v>1.0</v>
      </c>
      <c r="R57" s="2">
        <v>0.5</v>
      </c>
      <c r="S57" s="2">
        <v>1.0</v>
      </c>
      <c r="T57" s="2">
        <v>1.0</v>
      </c>
      <c r="U57" s="2">
        <v>0.5</v>
      </c>
      <c r="V57" s="2">
        <v>1.0</v>
      </c>
      <c r="W57" s="2">
        <v>1.0</v>
      </c>
      <c r="X57" s="2">
        <v>0.5</v>
      </c>
      <c r="Y57" s="2">
        <v>1.0</v>
      </c>
      <c r="Z57" s="2">
        <v>1.0</v>
      </c>
      <c r="AA57" s="2">
        <v>0.5</v>
      </c>
      <c r="AB57" s="2">
        <v>2.0</v>
      </c>
      <c r="AC57" s="2">
        <v>1.0</v>
      </c>
      <c r="AD57" s="2">
        <v>0.5</v>
      </c>
      <c r="AE57" s="2">
        <v>1.0</v>
      </c>
      <c r="AF57" s="2">
        <v>1.0</v>
      </c>
      <c r="AG57" s="2">
        <v>0.5</v>
      </c>
      <c r="AH57" s="2">
        <v>1.0</v>
      </c>
      <c r="AI57" s="2">
        <v>1.0</v>
      </c>
      <c r="AJ57" s="2">
        <v>0.5</v>
      </c>
      <c r="AK57" s="2">
        <v>1.0</v>
      </c>
      <c r="AL57" s="2">
        <v>1.0</v>
      </c>
      <c r="AM57" s="2">
        <v>0.5</v>
      </c>
      <c r="AN57" s="2">
        <v>1.0</v>
      </c>
      <c r="AO57" s="2">
        <v>1.0</v>
      </c>
      <c r="AP57" s="2">
        <v>0.5</v>
      </c>
      <c r="AQ57" s="2">
        <v>1.0</v>
      </c>
      <c r="AR57" s="2">
        <v>1.0</v>
      </c>
      <c r="AS57" s="2">
        <v>0.5</v>
      </c>
      <c r="AT57" s="2">
        <v>1.0</v>
      </c>
      <c r="AU57" s="2">
        <v>1.0</v>
      </c>
      <c r="AV57" s="2">
        <v>0.5</v>
      </c>
      <c r="AW57" s="2">
        <v>1.0</v>
      </c>
      <c r="AX57" s="2">
        <v>1.0</v>
      </c>
      <c r="AY57" s="2">
        <v>0.5</v>
      </c>
      <c r="AZ57" s="2">
        <v>1.0</v>
      </c>
      <c r="BA57" s="2">
        <v>1.0</v>
      </c>
      <c r="BB57" s="1">
        <v>0.5</v>
      </c>
      <c r="BC57" s="1">
        <v>1.0</v>
      </c>
      <c r="BD57" s="1">
        <v>1.0</v>
      </c>
      <c r="BE57" s="1">
        <v>0.5</v>
      </c>
      <c r="BF57" s="1">
        <v>1.0</v>
      </c>
      <c r="BG57" s="1"/>
      <c r="BH57" s="1"/>
      <c r="BI57" s="1">
        <v>1.0</v>
      </c>
      <c r="BJ57" s="1">
        <v>1.0</v>
      </c>
      <c r="BK57" s="2"/>
      <c r="BL57" s="1">
        <v>1.0</v>
      </c>
      <c r="BM57" s="1">
        <v>1.0</v>
      </c>
      <c r="BN57" s="2">
        <v>0.5</v>
      </c>
      <c r="BO57" s="1">
        <v>1.0</v>
      </c>
      <c r="BP57" s="1">
        <v>1.0</v>
      </c>
      <c r="BQ57" s="2">
        <v>0.5</v>
      </c>
      <c r="BR57" s="2">
        <v>2.0</v>
      </c>
      <c r="BS57" s="1">
        <v>1.0</v>
      </c>
      <c r="BT57" s="2">
        <v>0.5</v>
      </c>
      <c r="BU57" s="1">
        <v>1.0</v>
      </c>
      <c r="BV57" s="1">
        <v>1.0</v>
      </c>
      <c r="BW57" s="2">
        <v>0.5</v>
      </c>
      <c r="BX57" s="1">
        <v>1.0</v>
      </c>
      <c r="BY57" s="1">
        <v>1.0</v>
      </c>
      <c r="BZ57" s="2">
        <v>0.5</v>
      </c>
      <c r="CA57" s="1">
        <v>1.0</v>
      </c>
      <c r="CB57" s="1">
        <v>1.0</v>
      </c>
      <c r="CC57" s="2">
        <v>0.5</v>
      </c>
      <c r="CD57" s="1">
        <v>1.0</v>
      </c>
      <c r="CE57" s="1">
        <v>1.0</v>
      </c>
      <c r="CF57" s="2">
        <v>0.5</v>
      </c>
      <c r="CG57" s="1">
        <v>1.0</v>
      </c>
      <c r="CH57" s="1">
        <v>1.0</v>
      </c>
      <c r="CI57" s="1"/>
      <c r="CJ57" s="2">
        <v>0.5</v>
      </c>
      <c r="CK57" s="1">
        <v>1.0</v>
      </c>
      <c r="CL57" s="2">
        <v>1.0</v>
      </c>
      <c r="CM57" s="1" t="str">
        <f t="shared" si="85"/>
        <v>OK</v>
      </c>
      <c r="CN57" s="2">
        <v>0.5</v>
      </c>
      <c r="CO57" s="2">
        <v>2.0</v>
      </c>
      <c r="CP57" s="1">
        <v>1.0</v>
      </c>
    </row>
    <row r="58" ht="21.75" customHeight="1">
      <c r="A58" s="2" t="s">
        <v>141</v>
      </c>
      <c r="B58" s="2">
        <v>508.0</v>
      </c>
      <c r="C58" s="2" t="s">
        <v>15</v>
      </c>
      <c r="D58" s="17">
        <f>IFERROR(__xludf.DUMMYFUNCTION("""COMPUTED_VALUE"""),-108.81029035655138)</f>
        <v>-108.8102904</v>
      </c>
      <c r="E58" s="1"/>
      <c r="F58" s="2" t="s">
        <v>77</v>
      </c>
      <c r="G58" s="18" t="s">
        <v>142</v>
      </c>
      <c r="H58" s="2">
        <f t="shared" si="87"/>
        <v>69.5</v>
      </c>
      <c r="I58" s="2"/>
      <c r="J58" s="2"/>
      <c r="K58" s="2">
        <v>1.0</v>
      </c>
      <c r="L58" s="2">
        <v>0.5</v>
      </c>
      <c r="M58" s="2">
        <v>1.0</v>
      </c>
      <c r="N58" s="2">
        <v>1.0</v>
      </c>
      <c r="O58" s="2">
        <v>0.5</v>
      </c>
      <c r="P58" s="2">
        <v>1.0</v>
      </c>
      <c r="Q58" s="2">
        <v>1.0</v>
      </c>
      <c r="R58" s="2">
        <v>0.5</v>
      </c>
      <c r="S58" s="2">
        <v>1.0</v>
      </c>
      <c r="T58" s="2">
        <v>1.0</v>
      </c>
      <c r="U58" s="2">
        <v>0.5</v>
      </c>
      <c r="V58" s="2">
        <v>1.0</v>
      </c>
      <c r="W58" s="2">
        <v>1.0</v>
      </c>
      <c r="X58" s="2">
        <v>0.5</v>
      </c>
      <c r="Y58" s="2">
        <v>1.0</v>
      </c>
      <c r="Z58" s="2">
        <v>1.0</v>
      </c>
      <c r="AA58" s="2">
        <v>0.5</v>
      </c>
      <c r="AB58" s="2">
        <v>2.0</v>
      </c>
      <c r="AC58" s="2">
        <v>1.0</v>
      </c>
      <c r="AD58" s="2">
        <v>0.5</v>
      </c>
      <c r="AE58" s="2">
        <v>1.0</v>
      </c>
      <c r="AF58" s="2">
        <v>1.0</v>
      </c>
      <c r="AG58" s="2">
        <v>0.5</v>
      </c>
      <c r="AH58" s="2">
        <v>1.0</v>
      </c>
      <c r="AI58" s="2">
        <v>1.0</v>
      </c>
      <c r="AJ58" s="2">
        <v>0.5</v>
      </c>
      <c r="AK58" s="2">
        <v>1.0</v>
      </c>
      <c r="AL58" s="2">
        <v>1.0</v>
      </c>
      <c r="AM58" s="2">
        <v>0.5</v>
      </c>
      <c r="AN58" s="2">
        <v>1.0</v>
      </c>
      <c r="AO58" s="2">
        <v>1.0</v>
      </c>
      <c r="AP58" s="2">
        <v>0.5</v>
      </c>
      <c r="AQ58" s="2">
        <v>1.0</v>
      </c>
      <c r="AR58" s="2">
        <v>1.0</v>
      </c>
      <c r="AS58" s="2">
        <v>0.5</v>
      </c>
      <c r="AT58" s="2">
        <v>1.0</v>
      </c>
      <c r="AU58" s="2">
        <v>1.0</v>
      </c>
      <c r="AV58" s="2">
        <v>0.5</v>
      </c>
      <c r="AW58" s="2">
        <v>1.0</v>
      </c>
      <c r="AX58" s="2">
        <v>1.0</v>
      </c>
      <c r="AY58" s="2">
        <v>0.5</v>
      </c>
      <c r="AZ58" s="2">
        <v>1.0</v>
      </c>
      <c r="BA58" s="2">
        <v>1.0</v>
      </c>
      <c r="BB58" s="1">
        <v>0.5</v>
      </c>
      <c r="BC58" s="1">
        <v>1.0</v>
      </c>
      <c r="BD58" s="1">
        <v>1.0</v>
      </c>
      <c r="BE58" s="1">
        <v>0.5</v>
      </c>
      <c r="BF58" s="1">
        <v>1.0</v>
      </c>
      <c r="BG58" s="1"/>
      <c r="BH58" s="1"/>
      <c r="BI58" s="1">
        <v>1.0</v>
      </c>
      <c r="BJ58" s="1">
        <v>1.0</v>
      </c>
      <c r="BK58" s="2"/>
      <c r="BL58" s="1">
        <v>1.0</v>
      </c>
      <c r="BM58" s="1">
        <v>1.0</v>
      </c>
      <c r="BN58" s="2">
        <v>0.5</v>
      </c>
      <c r="BO58" s="1">
        <v>1.0</v>
      </c>
      <c r="BP58" s="1">
        <v>1.0</v>
      </c>
      <c r="BQ58" s="2">
        <v>0.5</v>
      </c>
      <c r="BR58" s="2">
        <v>2.0</v>
      </c>
      <c r="BS58" s="1">
        <v>1.0</v>
      </c>
      <c r="BT58" s="2">
        <v>0.5</v>
      </c>
      <c r="BU58" s="1">
        <v>1.0</v>
      </c>
      <c r="BV58" s="1">
        <v>1.0</v>
      </c>
      <c r="BW58" s="2">
        <v>0.5</v>
      </c>
      <c r="BX58" s="1">
        <v>1.0</v>
      </c>
      <c r="BY58" s="1">
        <v>1.0</v>
      </c>
      <c r="BZ58" s="2">
        <v>0.5</v>
      </c>
      <c r="CA58" s="1">
        <v>1.0</v>
      </c>
      <c r="CB58" s="1">
        <v>1.0</v>
      </c>
      <c r="CC58" s="2">
        <v>0.5</v>
      </c>
      <c r="CD58" s="1">
        <v>1.0</v>
      </c>
      <c r="CE58" s="1">
        <v>1.0</v>
      </c>
      <c r="CF58" s="2">
        <v>0.5</v>
      </c>
      <c r="CG58" s="1">
        <v>1.0</v>
      </c>
      <c r="CH58" s="1">
        <v>1.0</v>
      </c>
      <c r="CI58" s="1"/>
      <c r="CJ58" s="2">
        <v>0.5</v>
      </c>
      <c r="CK58" s="1">
        <v>1.0</v>
      </c>
      <c r="CL58" s="2">
        <v>1.0</v>
      </c>
      <c r="CM58" s="1" t="str">
        <f t="shared" si="85"/>
        <v>OK</v>
      </c>
      <c r="CN58" s="2">
        <v>0.5</v>
      </c>
      <c r="CO58" s="2">
        <v>2.0</v>
      </c>
      <c r="CP58" s="1">
        <v>1.0</v>
      </c>
    </row>
    <row r="59" ht="21.75" customHeight="1">
      <c r="A59" s="1" t="s">
        <v>58</v>
      </c>
      <c r="B59" s="2">
        <v>602.0</v>
      </c>
      <c r="C59" s="2" t="s">
        <v>15</v>
      </c>
      <c r="D59" s="17">
        <f>IFERROR(__xludf.DUMMYFUNCTION("""COMPUTED_VALUE"""),369.57273958176665)</f>
        <v>369.5727396</v>
      </c>
      <c r="E59" s="1"/>
      <c r="F59" s="2" t="s">
        <v>143</v>
      </c>
      <c r="G59" s="18" t="s">
        <v>119</v>
      </c>
      <c r="H59" s="2">
        <f t="shared" si="87"/>
        <v>67.5</v>
      </c>
      <c r="I59" s="2"/>
      <c r="J59" s="2"/>
      <c r="K59" s="2">
        <v>1.0</v>
      </c>
      <c r="L59" s="2">
        <v>0.5</v>
      </c>
      <c r="M59" s="2">
        <v>1.0</v>
      </c>
      <c r="N59" s="2">
        <v>1.0</v>
      </c>
      <c r="O59" s="2">
        <v>0.5</v>
      </c>
      <c r="P59" s="2">
        <v>1.0</v>
      </c>
      <c r="Q59" s="2">
        <v>1.0</v>
      </c>
      <c r="R59" s="2">
        <v>0.5</v>
      </c>
      <c r="S59" s="2">
        <v>1.0</v>
      </c>
      <c r="T59" s="2">
        <v>1.0</v>
      </c>
      <c r="U59" s="2">
        <v>0.5</v>
      </c>
      <c r="V59" s="2">
        <v>1.0</v>
      </c>
      <c r="W59" s="2">
        <v>1.0</v>
      </c>
      <c r="X59" s="2">
        <v>0.5</v>
      </c>
      <c r="Y59" s="2">
        <v>1.0</v>
      </c>
      <c r="Z59" s="2">
        <v>1.0</v>
      </c>
      <c r="AA59" s="2">
        <v>0.5</v>
      </c>
      <c r="AB59" s="2">
        <v>2.0</v>
      </c>
      <c r="AC59" s="2">
        <v>1.0</v>
      </c>
      <c r="AD59" s="2">
        <v>0.5</v>
      </c>
      <c r="AE59" s="2">
        <v>1.0</v>
      </c>
      <c r="AF59" s="2">
        <v>1.0</v>
      </c>
      <c r="AG59" s="2">
        <v>0.5</v>
      </c>
      <c r="AH59" s="2">
        <v>1.0</v>
      </c>
      <c r="AI59" s="2">
        <v>1.0</v>
      </c>
      <c r="AJ59" s="2">
        <v>0.5</v>
      </c>
      <c r="AK59" s="2">
        <v>1.0</v>
      </c>
      <c r="AL59" s="2">
        <v>1.0</v>
      </c>
      <c r="AM59" s="2">
        <v>0.5</v>
      </c>
      <c r="AN59" s="2">
        <v>1.0</v>
      </c>
      <c r="AO59" s="2">
        <v>1.0</v>
      </c>
      <c r="AP59" s="2">
        <v>0.5</v>
      </c>
      <c r="AQ59" s="2">
        <v>1.0</v>
      </c>
      <c r="AR59" s="2">
        <v>1.0</v>
      </c>
      <c r="AS59" s="2">
        <v>0.5</v>
      </c>
      <c r="AT59" s="2">
        <v>1.0</v>
      </c>
      <c r="AU59" s="2">
        <v>1.0</v>
      </c>
      <c r="AV59" s="2">
        <v>0.5</v>
      </c>
      <c r="AW59" s="2">
        <v>1.0</v>
      </c>
      <c r="AX59" s="2">
        <v>1.0</v>
      </c>
      <c r="AY59" s="2">
        <v>0.5</v>
      </c>
      <c r="AZ59" s="2">
        <v>1.0</v>
      </c>
      <c r="BA59" s="2">
        <v>1.0</v>
      </c>
      <c r="BB59" s="1">
        <v>0.5</v>
      </c>
      <c r="BC59" s="1">
        <v>1.0</v>
      </c>
      <c r="BD59" s="1">
        <v>1.0</v>
      </c>
      <c r="BE59" s="1">
        <v>0.5</v>
      </c>
      <c r="BF59" s="1">
        <v>1.0</v>
      </c>
      <c r="BG59" s="1"/>
      <c r="BH59" s="1"/>
      <c r="BI59" s="1"/>
      <c r="BJ59" s="1"/>
      <c r="BK59" s="2"/>
      <c r="BL59" s="2">
        <v>1.0</v>
      </c>
      <c r="BM59" s="2">
        <v>1.0</v>
      </c>
      <c r="BN59" s="2">
        <v>0.5</v>
      </c>
      <c r="BO59" s="2">
        <v>1.0</v>
      </c>
      <c r="BP59" s="2">
        <v>1.0</v>
      </c>
      <c r="BQ59" s="2">
        <v>0.5</v>
      </c>
      <c r="BR59" s="2">
        <v>2.0</v>
      </c>
      <c r="BS59" s="2">
        <v>1.0</v>
      </c>
      <c r="BT59" s="2">
        <v>0.5</v>
      </c>
      <c r="BU59" s="2">
        <v>1.0</v>
      </c>
      <c r="BV59" s="2">
        <v>1.0</v>
      </c>
      <c r="BW59" s="2">
        <v>0.5</v>
      </c>
      <c r="BX59" s="2">
        <v>1.0</v>
      </c>
      <c r="BY59" s="2">
        <v>1.0</v>
      </c>
      <c r="BZ59" s="2">
        <v>0.5</v>
      </c>
      <c r="CA59" s="2">
        <v>1.0</v>
      </c>
      <c r="CB59" s="2">
        <v>1.0</v>
      </c>
      <c r="CC59" s="2">
        <v>0.5</v>
      </c>
      <c r="CD59" s="2">
        <v>1.0</v>
      </c>
      <c r="CE59" s="2">
        <v>1.0</v>
      </c>
      <c r="CF59" s="2">
        <v>0.5</v>
      </c>
      <c r="CG59" s="2">
        <v>1.0</v>
      </c>
      <c r="CH59" s="2">
        <v>1.0</v>
      </c>
      <c r="CI59" s="2"/>
      <c r="CJ59" s="2">
        <v>0.5</v>
      </c>
      <c r="CK59" s="2">
        <v>1.0</v>
      </c>
      <c r="CL59" s="2">
        <v>1.0</v>
      </c>
      <c r="CM59" s="1" t="str">
        <f t="shared" si="85"/>
        <v>OK</v>
      </c>
      <c r="CN59" s="2">
        <v>0.5</v>
      </c>
      <c r="CO59" s="2">
        <v>2.0</v>
      </c>
      <c r="CP59" s="2">
        <v>1.0</v>
      </c>
    </row>
    <row r="60" ht="21.75" customHeight="1">
      <c r="A60" s="2" t="s">
        <v>118</v>
      </c>
      <c r="B60" s="2">
        <v>602.0</v>
      </c>
      <c r="C60" s="2" t="s">
        <v>15</v>
      </c>
      <c r="D60" s="17">
        <f>IFERROR(__xludf.DUMMYFUNCTION("""COMPUTED_VALUE"""),-236.49089814954095)</f>
        <v>-236.4908981</v>
      </c>
      <c r="E60" s="1"/>
      <c r="F60" s="2" t="s">
        <v>144</v>
      </c>
      <c r="G60" s="18" t="s">
        <v>67</v>
      </c>
      <c r="H60" s="2">
        <f t="shared" si="87"/>
        <v>60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>
        <v>0.5</v>
      </c>
      <c r="V60" s="2">
        <v>1.0</v>
      </c>
      <c r="W60" s="2">
        <v>1.0</v>
      </c>
      <c r="X60" s="2">
        <v>0.5</v>
      </c>
      <c r="Y60" s="2">
        <v>1.0</v>
      </c>
      <c r="Z60" s="2">
        <v>1.0</v>
      </c>
      <c r="AA60" s="2">
        <v>0.5</v>
      </c>
      <c r="AB60" s="2">
        <v>2.0</v>
      </c>
      <c r="AC60" s="2">
        <v>1.0</v>
      </c>
      <c r="AD60" s="2">
        <v>0.5</v>
      </c>
      <c r="AE60" s="2">
        <v>1.0</v>
      </c>
      <c r="AF60" s="2"/>
      <c r="AG60" s="2">
        <v>0.5</v>
      </c>
      <c r="AH60" s="2">
        <v>1.0</v>
      </c>
      <c r="AI60" s="2">
        <v>1.0</v>
      </c>
      <c r="AJ60" s="2">
        <v>0.5</v>
      </c>
      <c r="AK60" s="2">
        <v>1.0</v>
      </c>
      <c r="AL60" s="2">
        <v>1.0</v>
      </c>
      <c r="AM60" s="2">
        <v>0.5</v>
      </c>
      <c r="AN60" s="2">
        <v>1.0</v>
      </c>
      <c r="AO60" s="2">
        <v>1.0</v>
      </c>
      <c r="AP60" s="2">
        <v>0.5</v>
      </c>
      <c r="AQ60" s="2">
        <v>1.0</v>
      </c>
      <c r="AR60" s="2">
        <v>1.0</v>
      </c>
      <c r="AS60" s="2">
        <v>0.5</v>
      </c>
      <c r="AT60" s="2">
        <v>1.0</v>
      </c>
      <c r="AU60" s="2">
        <v>1.0</v>
      </c>
      <c r="AV60" s="2"/>
      <c r="AW60" s="2">
        <v>1.0</v>
      </c>
      <c r="AX60" s="2"/>
      <c r="AY60" s="2">
        <v>0.5</v>
      </c>
      <c r="AZ60" s="2">
        <v>1.0</v>
      </c>
      <c r="BA60" s="2">
        <v>1.0</v>
      </c>
      <c r="BB60" s="1">
        <v>0.5</v>
      </c>
      <c r="BC60" s="1">
        <v>1.0</v>
      </c>
      <c r="BD60" s="1">
        <v>1.0</v>
      </c>
      <c r="BE60" s="1">
        <v>0.5</v>
      </c>
      <c r="BF60" s="1">
        <v>1.0</v>
      </c>
      <c r="BG60" s="1">
        <v>1.0</v>
      </c>
      <c r="BH60" s="1">
        <v>0.5</v>
      </c>
      <c r="BI60" s="1">
        <v>1.0</v>
      </c>
      <c r="BJ60" s="1">
        <v>1.0</v>
      </c>
      <c r="BK60" s="1"/>
      <c r="BL60" s="1">
        <v>1.0</v>
      </c>
      <c r="BM60" s="1">
        <v>1.0</v>
      </c>
      <c r="BN60" s="1">
        <v>0.5</v>
      </c>
      <c r="BO60" s="1">
        <v>1.0</v>
      </c>
      <c r="BP60" s="1">
        <v>1.0</v>
      </c>
      <c r="BQ60" s="1">
        <v>0.5</v>
      </c>
      <c r="BR60" s="2">
        <v>2.0</v>
      </c>
      <c r="BS60" s="1">
        <v>1.0</v>
      </c>
      <c r="BT60" s="1">
        <v>0.5</v>
      </c>
      <c r="BU60" s="1">
        <v>1.0</v>
      </c>
      <c r="BV60" s="1">
        <v>1.0</v>
      </c>
      <c r="BW60" s="1">
        <v>0.5</v>
      </c>
      <c r="BX60" s="1">
        <v>1.0</v>
      </c>
      <c r="BY60" s="1">
        <v>1.0</v>
      </c>
      <c r="BZ60" s="1">
        <v>0.5</v>
      </c>
      <c r="CA60" s="1">
        <v>1.0</v>
      </c>
      <c r="CB60" s="1">
        <v>1.0</v>
      </c>
      <c r="CC60" s="1">
        <v>0.5</v>
      </c>
      <c r="CD60" s="1">
        <v>1.0</v>
      </c>
      <c r="CE60" s="1">
        <v>1.0</v>
      </c>
      <c r="CF60" s="1">
        <v>0.5</v>
      </c>
      <c r="CG60" s="1">
        <v>1.0</v>
      </c>
      <c r="CH60" s="1">
        <v>1.0</v>
      </c>
      <c r="CI60" s="1"/>
      <c r="CJ60" s="1">
        <v>0.5</v>
      </c>
      <c r="CK60" s="1">
        <v>1.0</v>
      </c>
      <c r="CL60" s="2">
        <v>1.0</v>
      </c>
      <c r="CM60" s="1" t="str">
        <f t="shared" si="85"/>
        <v>OK</v>
      </c>
      <c r="CN60" s="1">
        <v>0.5</v>
      </c>
      <c r="CO60" s="2">
        <v>2.0</v>
      </c>
      <c r="CP60" s="1">
        <v>1.0</v>
      </c>
    </row>
    <row r="61" ht="21.75" customHeight="1">
      <c r="A61" s="2" t="s">
        <v>145</v>
      </c>
      <c r="B61" s="2">
        <v>603.0</v>
      </c>
      <c r="C61" s="2" t="s">
        <v>15</v>
      </c>
      <c r="D61" s="17">
        <f>IFERROR(__xludf.DUMMYFUNCTION("""COMPUTED_VALUE"""),106.12667368737789)</f>
        <v>106.1266737</v>
      </c>
      <c r="E61" s="2" t="s">
        <v>37</v>
      </c>
      <c r="F61" s="2" t="s">
        <v>146</v>
      </c>
      <c r="G61" s="18" t="s">
        <v>147</v>
      </c>
      <c r="H61" s="2">
        <f t="shared" si="87"/>
        <v>38.5</v>
      </c>
      <c r="I61" s="2"/>
      <c r="J61" s="2"/>
      <c r="K61" s="2"/>
      <c r="L61" s="2">
        <v>0.5</v>
      </c>
      <c r="M61" s="2">
        <v>1.0</v>
      </c>
      <c r="N61" s="2"/>
      <c r="O61" s="2">
        <v>0.5</v>
      </c>
      <c r="P61" s="2">
        <v>1.0</v>
      </c>
      <c r="Q61" s="2"/>
      <c r="R61" s="2">
        <v>0.5</v>
      </c>
      <c r="S61" s="2">
        <v>1.0</v>
      </c>
      <c r="T61" s="2"/>
      <c r="U61" s="2">
        <v>0.5</v>
      </c>
      <c r="V61" s="2">
        <v>1.0</v>
      </c>
      <c r="W61" s="2"/>
      <c r="X61" s="2">
        <v>0.5</v>
      </c>
      <c r="Y61" s="2">
        <v>1.0</v>
      </c>
      <c r="Z61" s="2"/>
      <c r="AA61" s="2">
        <v>0.5</v>
      </c>
      <c r="AB61" s="2">
        <v>2.0</v>
      </c>
      <c r="AC61" s="2"/>
      <c r="AD61" s="2">
        <v>0.5</v>
      </c>
      <c r="AE61" s="2">
        <v>1.0</v>
      </c>
      <c r="AF61" s="2"/>
      <c r="AG61" s="2">
        <v>0.5</v>
      </c>
      <c r="AH61" s="2">
        <v>1.0</v>
      </c>
      <c r="AI61" s="2"/>
      <c r="AJ61" s="2">
        <v>0.5</v>
      </c>
      <c r="AK61" s="2">
        <v>1.0</v>
      </c>
      <c r="AL61" s="2"/>
      <c r="AM61" s="2">
        <v>0.5</v>
      </c>
      <c r="AN61" s="2">
        <v>1.0</v>
      </c>
      <c r="AO61" s="2"/>
      <c r="AP61" s="2"/>
      <c r="AQ61" s="2"/>
      <c r="AR61" s="2">
        <v>1.0</v>
      </c>
      <c r="AS61" s="2"/>
      <c r="AT61" s="2"/>
      <c r="AU61" s="2"/>
      <c r="AV61" s="2"/>
      <c r="AW61" s="2"/>
      <c r="AX61" s="2"/>
      <c r="AY61" s="2"/>
      <c r="AZ61" s="2"/>
      <c r="BA61" s="2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6"/>
      <c r="BO61" s="16"/>
      <c r="BP61" s="19"/>
      <c r="BQ61" s="16"/>
      <c r="BR61" s="16"/>
      <c r="BS61" s="19"/>
      <c r="BT61" s="16"/>
      <c r="BU61" s="16"/>
      <c r="BV61" s="19"/>
      <c r="BW61" s="16"/>
      <c r="BX61" s="16"/>
      <c r="BY61" s="19"/>
      <c r="BZ61" s="16"/>
      <c r="CA61" s="16"/>
      <c r="CB61" s="19"/>
      <c r="CC61" s="16">
        <v>0.5</v>
      </c>
      <c r="CD61" s="16">
        <v>2.0</v>
      </c>
      <c r="CE61" s="16">
        <v>2.0</v>
      </c>
      <c r="CF61" s="16">
        <v>0.5</v>
      </c>
      <c r="CG61" s="16">
        <v>2.0</v>
      </c>
      <c r="CH61" s="16">
        <v>2.0</v>
      </c>
      <c r="CI61" s="16"/>
      <c r="CJ61" s="16">
        <v>0.5</v>
      </c>
      <c r="CK61" s="16">
        <v>2.0</v>
      </c>
      <c r="CL61" s="16">
        <v>2.0</v>
      </c>
      <c r="CM61" s="1" t="str">
        <f t="shared" si="85"/>
        <v>OK</v>
      </c>
      <c r="CN61" s="16">
        <v>1.0</v>
      </c>
      <c r="CO61" s="16">
        <v>5.0</v>
      </c>
      <c r="CP61" s="16">
        <v>2.0</v>
      </c>
    </row>
    <row r="62" ht="21.75" customHeight="1">
      <c r="A62" s="1" t="s">
        <v>148</v>
      </c>
      <c r="B62" s="2">
        <v>604.0</v>
      </c>
      <c r="C62" s="2" t="s">
        <v>39</v>
      </c>
      <c r="D62" s="17">
        <f>IFERROR(__xludf.DUMMYFUNCTION("""COMPUTED_VALUE"""),712.1903114186853)</f>
        <v>712.1903114</v>
      </c>
      <c r="E62" s="1"/>
      <c r="F62" s="2" t="s">
        <v>149</v>
      </c>
      <c r="G62" s="18" t="s">
        <v>60</v>
      </c>
      <c r="H62" s="2">
        <f t="shared" si="87"/>
        <v>46</v>
      </c>
      <c r="I62" s="2"/>
      <c r="J62" s="2"/>
      <c r="K62" s="2">
        <v>1.0</v>
      </c>
      <c r="L62" s="2">
        <v>0.5</v>
      </c>
      <c r="M62" s="2">
        <v>1.0</v>
      </c>
      <c r="N62" s="2">
        <v>1.0</v>
      </c>
      <c r="O62" s="2">
        <v>0.5</v>
      </c>
      <c r="P62" s="2">
        <v>1.0</v>
      </c>
      <c r="Q62" s="2">
        <v>1.0</v>
      </c>
      <c r="R62" s="2">
        <v>0.5</v>
      </c>
      <c r="S62" s="2">
        <v>1.0</v>
      </c>
      <c r="T62" s="2">
        <v>1.0</v>
      </c>
      <c r="U62" s="2"/>
      <c r="V62" s="2">
        <v>1.0</v>
      </c>
      <c r="W62" s="2">
        <v>1.0</v>
      </c>
      <c r="X62" s="2"/>
      <c r="Y62" s="2">
        <v>1.0</v>
      </c>
      <c r="Z62" s="2">
        <v>1.0</v>
      </c>
      <c r="AA62" s="2"/>
      <c r="AB62" s="2">
        <v>2.0</v>
      </c>
      <c r="AC62" s="2">
        <v>1.0</v>
      </c>
      <c r="AD62" s="2"/>
      <c r="AE62" s="2">
        <v>1.0</v>
      </c>
      <c r="AF62" s="2"/>
      <c r="AG62" s="2"/>
      <c r="AH62" s="2">
        <v>1.0</v>
      </c>
      <c r="AI62" s="2">
        <v>1.0</v>
      </c>
      <c r="AJ62" s="2"/>
      <c r="AK62" s="2">
        <v>1.0</v>
      </c>
      <c r="AL62" s="2">
        <v>1.0</v>
      </c>
      <c r="AM62" s="2"/>
      <c r="AN62" s="2">
        <v>1.0</v>
      </c>
      <c r="AO62" s="2">
        <v>1.0</v>
      </c>
      <c r="AP62" s="2"/>
      <c r="AQ62" s="2">
        <v>1.0</v>
      </c>
      <c r="AR62" s="2">
        <v>1.0</v>
      </c>
      <c r="AS62" s="2">
        <v>0.5</v>
      </c>
      <c r="AT62" s="2">
        <v>1.0</v>
      </c>
      <c r="AU62" s="2">
        <v>1.0</v>
      </c>
      <c r="AV62" s="2"/>
      <c r="AW62" s="2">
        <v>1.0</v>
      </c>
      <c r="AX62" s="2">
        <v>1.0</v>
      </c>
      <c r="AY62" s="2"/>
      <c r="AZ62" s="2">
        <v>1.0</v>
      </c>
      <c r="BA62" s="2">
        <v>1.0</v>
      </c>
      <c r="BB62" s="19"/>
      <c r="BC62" s="1">
        <v>1.0</v>
      </c>
      <c r="BD62" s="1">
        <v>1.0</v>
      </c>
      <c r="BE62" s="19"/>
      <c r="BF62" s="1">
        <v>1.0</v>
      </c>
      <c r="BG62" s="1">
        <v>1.0</v>
      </c>
      <c r="BH62" s="19"/>
      <c r="BI62" s="1">
        <v>1.0</v>
      </c>
      <c r="BJ62" s="1">
        <v>1.0</v>
      </c>
      <c r="BK62" s="19"/>
      <c r="BL62" s="1">
        <v>1.0</v>
      </c>
      <c r="BM62" s="1">
        <v>1.0</v>
      </c>
      <c r="BN62" s="19"/>
      <c r="BO62" s="1">
        <v>1.0</v>
      </c>
      <c r="BP62" s="1">
        <v>1.0</v>
      </c>
      <c r="BQ62" s="19"/>
      <c r="BR62" s="2">
        <v>2.0</v>
      </c>
      <c r="BS62" s="1">
        <v>1.0</v>
      </c>
      <c r="BT62" s="19"/>
      <c r="BU62" s="1">
        <v>1.0</v>
      </c>
      <c r="BV62" s="1">
        <v>1.0</v>
      </c>
      <c r="BW62" s="19"/>
      <c r="BX62" s="1"/>
      <c r="BY62" s="1"/>
      <c r="BZ62" s="19"/>
      <c r="CA62" s="1"/>
      <c r="CB62" s="1"/>
      <c r="CC62" s="19"/>
      <c r="CD62" s="1"/>
      <c r="CE62" s="1"/>
      <c r="CF62" s="19"/>
      <c r="CG62" s="1"/>
      <c r="CH62" s="1"/>
      <c r="CI62" s="1"/>
      <c r="CJ62" s="19"/>
      <c r="CK62" s="1"/>
      <c r="CL62" s="1"/>
      <c r="CM62" s="1" t="str">
        <f t="shared" si="85"/>
        <v>Check</v>
      </c>
      <c r="CN62" s="19"/>
      <c r="CO62" s="1"/>
      <c r="CP62" s="1"/>
    </row>
    <row r="63" ht="21.75" customHeight="1">
      <c r="A63" s="2" t="s">
        <v>150</v>
      </c>
      <c r="B63" s="2">
        <v>604.0</v>
      </c>
      <c r="C63" s="2" t="s">
        <v>39</v>
      </c>
      <c r="D63" s="17">
        <f>IFERROR(__xludf.DUMMYFUNCTION("""COMPUTED_VALUE"""),322.29637430419734)</f>
        <v>322.2963743</v>
      </c>
      <c r="E63" s="1"/>
      <c r="F63" s="2" t="s">
        <v>151</v>
      </c>
      <c r="G63" s="18" t="s">
        <v>152</v>
      </c>
      <c r="H63" s="2">
        <f t="shared" si="87"/>
        <v>58.5</v>
      </c>
      <c r="I63" s="2"/>
      <c r="J63" s="2"/>
      <c r="K63" s="2"/>
      <c r="L63" s="2"/>
      <c r="M63" s="2"/>
      <c r="N63" s="2"/>
      <c r="O63" s="2">
        <v>0.5</v>
      </c>
      <c r="P63" s="2">
        <v>1.0</v>
      </c>
      <c r="Q63" s="2">
        <v>1.0</v>
      </c>
      <c r="R63" s="2">
        <v>0.5</v>
      </c>
      <c r="S63" s="2">
        <v>1.0</v>
      </c>
      <c r="T63" s="2">
        <v>1.0</v>
      </c>
      <c r="U63" s="2">
        <v>0.5</v>
      </c>
      <c r="V63" s="2">
        <v>1.0</v>
      </c>
      <c r="W63" s="2">
        <v>1.0</v>
      </c>
      <c r="X63" s="2">
        <v>0.5</v>
      </c>
      <c r="Y63" s="2">
        <v>1.0</v>
      </c>
      <c r="Z63" s="2">
        <v>1.0</v>
      </c>
      <c r="AA63" s="2">
        <v>0.5</v>
      </c>
      <c r="AB63" s="2">
        <v>2.0</v>
      </c>
      <c r="AC63" s="2">
        <v>1.0</v>
      </c>
      <c r="AD63" s="2">
        <v>0.5</v>
      </c>
      <c r="AE63" s="2">
        <v>1.0</v>
      </c>
      <c r="AF63" s="2"/>
      <c r="AG63" s="2">
        <v>0.5</v>
      </c>
      <c r="AH63" s="2">
        <v>1.0</v>
      </c>
      <c r="AI63" s="2">
        <v>1.0</v>
      </c>
      <c r="AJ63" s="2">
        <v>0.5</v>
      </c>
      <c r="AK63" s="2">
        <v>1.0</v>
      </c>
      <c r="AL63" s="2">
        <v>1.0</v>
      </c>
      <c r="AM63" s="2"/>
      <c r="AN63" s="2">
        <v>1.0</v>
      </c>
      <c r="AO63" s="2">
        <v>1.0</v>
      </c>
      <c r="AP63" s="2"/>
      <c r="AQ63" s="2">
        <v>1.0</v>
      </c>
      <c r="AR63" s="2">
        <v>1.0</v>
      </c>
      <c r="AS63" s="2">
        <v>0.5</v>
      </c>
      <c r="AT63" s="2">
        <v>1.0</v>
      </c>
      <c r="AU63" s="2">
        <v>1.0</v>
      </c>
      <c r="AV63" s="2"/>
      <c r="AW63" s="2">
        <v>1.0</v>
      </c>
      <c r="AX63" s="2">
        <v>1.0</v>
      </c>
      <c r="AY63" s="2"/>
      <c r="AZ63" s="2">
        <v>1.0</v>
      </c>
      <c r="BA63" s="2">
        <v>1.0</v>
      </c>
      <c r="BB63" s="19"/>
      <c r="BC63" s="1">
        <v>1.0</v>
      </c>
      <c r="BD63" s="1">
        <v>1.0</v>
      </c>
      <c r="BE63" s="19"/>
      <c r="BF63" s="1">
        <v>1.0</v>
      </c>
      <c r="BG63" s="1">
        <v>1.0</v>
      </c>
      <c r="BH63" s="19"/>
      <c r="BI63" s="1">
        <v>1.0</v>
      </c>
      <c r="BJ63" s="1">
        <v>1.0</v>
      </c>
      <c r="BK63" s="19"/>
      <c r="BL63" s="1">
        <v>1.0</v>
      </c>
      <c r="BM63" s="1">
        <v>1.0</v>
      </c>
      <c r="BN63" s="19"/>
      <c r="BO63" s="1">
        <v>1.0</v>
      </c>
      <c r="BP63" s="1">
        <v>1.0</v>
      </c>
      <c r="BQ63" s="19"/>
      <c r="BR63" s="2">
        <v>2.0</v>
      </c>
      <c r="BS63" s="1">
        <v>1.0</v>
      </c>
      <c r="BT63" s="19"/>
      <c r="BU63" s="1">
        <v>1.0</v>
      </c>
      <c r="BV63" s="1">
        <v>1.0</v>
      </c>
      <c r="BW63" s="19"/>
      <c r="BX63" s="1">
        <v>1.0</v>
      </c>
      <c r="BY63" s="1">
        <v>1.0</v>
      </c>
      <c r="BZ63" s="19"/>
      <c r="CA63" s="1">
        <v>1.0</v>
      </c>
      <c r="CB63" s="1">
        <v>1.0</v>
      </c>
      <c r="CC63" s="19"/>
      <c r="CD63" s="1">
        <v>1.0</v>
      </c>
      <c r="CE63" s="1">
        <v>1.0</v>
      </c>
      <c r="CF63" s="19"/>
      <c r="CG63" s="1">
        <v>1.0</v>
      </c>
      <c r="CH63" s="1">
        <v>1.0</v>
      </c>
      <c r="CI63" s="1"/>
      <c r="CJ63" s="19"/>
      <c r="CK63" s="1">
        <v>1.0</v>
      </c>
      <c r="CL63" s="2">
        <v>1.0</v>
      </c>
      <c r="CM63" s="1" t="str">
        <f t="shared" si="85"/>
        <v>OK</v>
      </c>
      <c r="CN63" s="19"/>
      <c r="CO63" s="2">
        <v>2.0</v>
      </c>
      <c r="CP63" s="1">
        <v>1.0</v>
      </c>
    </row>
    <row r="64" ht="21.75" customHeight="1">
      <c r="A64" s="2" t="s">
        <v>58</v>
      </c>
      <c r="B64" s="2">
        <v>606.0</v>
      </c>
      <c r="C64" s="2" t="s">
        <v>153</v>
      </c>
      <c r="D64" s="17">
        <f>IFERROR(__xludf.DUMMYFUNCTION("""COMPUTED_VALUE"""),975.0200090266287)</f>
        <v>975.020009</v>
      </c>
      <c r="E64" s="1"/>
      <c r="F64" s="2" t="s">
        <v>154</v>
      </c>
      <c r="G64" s="18" t="s">
        <v>155</v>
      </c>
      <c r="H64" s="2">
        <f t="shared" si="87"/>
        <v>49.5</v>
      </c>
      <c r="I64" s="2"/>
      <c r="J64" s="2"/>
      <c r="K64" s="2">
        <v>1.0</v>
      </c>
      <c r="L64" s="2">
        <v>0.5</v>
      </c>
      <c r="M64" s="2">
        <v>1.0</v>
      </c>
      <c r="N64" s="2">
        <v>1.0</v>
      </c>
      <c r="O64" s="2">
        <v>0.5</v>
      </c>
      <c r="P64" s="2">
        <v>1.0</v>
      </c>
      <c r="Q64" s="2">
        <v>1.0</v>
      </c>
      <c r="R64" s="2">
        <v>0.5</v>
      </c>
      <c r="S64" s="2">
        <v>1.0</v>
      </c>
      <c r="T64" s="2">
        <v>1.0</v>
      </c>
      <c r="U64" s="2">
        <v>0.5</v>
      </c>
      <c r="V64" s="2">
        <v>1.0</v>
      </c>
      <c r="W64" s="2">
        <v>1.0</v>
      </c>
      <c r="X64" s="2">
        <v>0.5</v>
      </c>
      <c r="Y64" s="2">
        <v>1.0</v>
      </c>
      <c r="Z64" s="2">
        <v>1.0</v>
      </c>
      <c r="AA64" s="2">
        <v>0.5</v>
      </c>
      <c r="AB64" s="2">
        <v>2.0</v>
      </c>
      <c r="AC64" s="2">
        <v>1.0</v>
      </c>
      <c r="AD64" s="2">
        <v>0.5</v>
      </c>
      <c r="AE64" s="2">
        <v>1.0</v>
      </c>
      <c r="AF64" s="2"/>
      <c r="AG64" s="2">
        <v>0.5</v>
      </c>
      <c r="AH64" s="2">
        <v>1.0</v>
      </c>
      <c r="AI64" s="2">
        <v>1.0</v>
      </c>
      <c r="AJ64" s="2">
        <v>0.5</v>
      </c>
      <c r="AK64" s="2">
        <v>1.0</v>
      </c>
      <c r="AL64" s="2">
        <v>1.0</v>
      </c>
      <c r="AM64" s="2">
        <v>0.5</v>
      </c>
      <c r="AN64" s="2"/>
      <c r="AO64" s="2">
        <v>1.0</v>
      </c>
      <c r="AP64" s="2">
        <v>0.5</v>
      </c>
      <c r="AQ64" s="2"/>
      <c r="AR64" s="2">
        <v>1.0</v>
      </c>
      <c r="AS64" s="2">
        <v>0.5</v>
      </c>
      <c r="AT64" s="2"/>
      <c r="AU64" s="2">
        <v>1.0</v>
      </c>
      <c r="AV64" s="2"/>
      <c r="AW64" s="2"/>
      <c r="AX64" s="2">
        <v>1.0</v>
      </c>
      <c r="AY64" s="2">
        <v>0.5</v>
      </c>
      <c r="AZ64" s="2"/>
      <c r="BA64" s="2">
        <v>1.0</v>
      </c>
      <c r="BB64" s="23">
        <v>0.5</v>
      </c>
      <c r="BC64" s="19"/>
      <c r="BD64" s="19"/>
      <c r="BE64" s="2">
        <v>1.0</v>
      </c>
      <c r="BF64" s="19"/>
      <c r="BG64" s="16"/>
      <c r="BH64" s="2"/>
      <c r="BI64" s="19"/>
      <c r="BJ64" s="16"/>
      <c r="BK64" s="2"/>
      <c r="BL64" s="19"/>
      <c r="BM64" s="16"/>
      <c r="BN64" s="2">
        <v>0.5</v>
      </c>
      <c r="BO64" s="19"/>
      <c r="BP64" s="16">
        <v>1.0</v>
      </c>
      <c r="BQ64" s="2">
        <v>0.5</v>
      </c>
      <c r="BR64" s="16">
        <v>2.0</v>
      </c>
      <c r="BS64" s="16">
        <v>1.0</v>
      </c>
      <c r="BT64" s="2">
        <v>0.5</v>
      </c>
      <c r="BU64" s="19"/>
      <c r="BV64" s="16">
        <v>1.0</v>
      </c>
      <c r="BW64" s="2">
        <v>0.5</v>
      </c>
      <c r="BX64" s="19"/>
      <c r="BY64" s="16">
        <v>1.0</v>
      </c>
      <c r="BZ64" s="2">
        <v>0.5</v>
      </c>
      <c r="CA64" s="19"/>
      <c r="CB64" s="16">
        <v>1.0</v>
      </c>
      <c r="CC64" s="2">
        <v>0.5</v>
      </c>
      <c r="CD64" s="19"/>
      <c r="CE64" s="16">
        <v>1.0</v>
      </c>
      <c r="CF64" s="2">
        <v>0.5</v>
      </c>
      <c r="CG64" s="19"/>
      <c r="CH64" s="16">
        <v>1.0</v>
      </c>
      <c r="CI64" s="16"/>
      <c r="CJ64" s="2">
        <v>0.5</v>
      </c>
      <c r="CK64" s="19"/>
      <c r="CL64" s="16">
        <v>1.0</v>
      </c>
      <c r="CM64" s="1" t="str">
        <f t="shared" si="85"/>
        <v>Check</v>
      </c>
      <c r="CN64" s="2">
        <v>0.5</v>
      </c>
      <c r="CO64" s="16">
        <v>2.0</v>
      </c>
      <c r="CP64" s="16">
        <v>1.0</v>
      </c>
    </row>
    <row r="65" ht="21.75" customHeight="1">
      <c r="A65" s="2" t="s">
        <v>23</v>
      </c>
      <c r="B65" s="2">
        <v>606.0</v>
      </c>
      <c r="C65" s="2" t="s">
        <v>153</v>
      </c>
      <c r="D65" s="17">
        <f>IFERROR(__xludf.DUMMYFUNCTION("""COMPUTED_VALUE"""),831.7860689032648)</f>
        <v>831.7860689</v>
      </c>
      <c r="E65" s="1"/>
      <c r="F65" s="2" t="s">
        <v>42</v>
      </c>
      <c r="G65" s="4" t="s">
        <v>25</v>
      </c>
      <c r="H65" s="2">
        <f t="shared" si="87"/>
        <v>45.5</v>
      </c>
      <c r="I65" s="2"/>
      <c r="J65" s="2"/>
      <c r="K65" s="2">
        <v>1.0</v>
      </c>
      <c r="L65" s="2">
        <v>0.5</v>
      </c>
      <c r="M65" s="2"/>
      <c r="N65" s="2">
        <v>1.0</v>
      </c>
      <c r="O65" s="2">
        <v>0.5</v>
      </c>
      <c r="P65" s="2"/>
      <c r="Q65" s="2">
        <v>1.0</v>
      </c>
      <c r="R65" s="2">
        <v>0.5</v>
      </c>
      <c r="S65" s="2"/>
      <c r="T65" s="2">
        <v>1.0</v>
      </c>
      <c r="U65" s="2">
        <v>0.5</v>
      </c>
      <c r="V65" s="2"/>
      <c r="W65" s="2">
        <v>1.0</v>
      </c>
      <c r="X65" s="2">
        <v>0.5</v>
      </c>
      <c r="Y65" s="2"/>
      <c r="Z65" s="2">
        <v>1.0</v>
      </c>
      <c r="AA65" s="2">
        <v>0.5</v>
      </c>
      <c r="AB65" s="2">
        <v>2.0</v>
      </c>
      <c r="AC65" s="2">
        <v>1.0</v>
      </c>
      <c r="AD65" s="2">
        <v>0.5</v>
      </c>
      <c r="AE65" s="2">
        <v>1.0</v>
      </c>
      <c r="AF65" s="2"/>
      <c r="AG65" s="2">
        <v>0.5</v>
      </c>
      <c r="AH65" s="2"/>
      <c r="AI65" s="2">
        <v>1.0</v>
      </c>
      <c r="AJ65" s="2">
        <v>0.5</v>
      </c>
      <c r="AK65" s="2"/>
      <c r="AL65" s="2">
        <v>1.0</v>
      </c>
      <c r="AM65" s="2">
        <v>0.5</v>
      </c>
      <c r="AN65" s="2"/>
      <c r="AO65" s="2">
        <v>1.0</v>
      </c>
      <c r="AP65" s="2">
        <v>0.5</v>
      </c>
      <c r="AQ65" s="2"/>
      <c r="AR65" s="2">
        <v>1.0</v>
      </c>
      <c r="AS65" s="2">
        <v>0.5</v>
      </c>
      <c r="AT65" s="2"/>
      <c r="AU65" s="2">
        <v>1.0</v>
      </c>
      <c r="AV65" s="2"/>
      <c r="AW65" s="2"/>
      <c r="AX65" s="2">
        <v>1.0</v>
      </c>
      <c r="AY65" s="2">
        <v>0.5</v>
      </c>
      <c r="AZ65" s="2"/>
      <c r="BA65" s="2">
        <v>1.0</v>
      </c>
      <c r="BB65" s="1">
        <v>0.5</v>
      </c>
      <c r="BC65" s="19"/>
      <c r="BD65" s="19"/>
      <c r="BE65" s="2">
        <v>1.0</v>
      </c>
      <c r="BF65" s="19"/>
      <c r="BG65" s="16">
        <v>1.0</v>
      </c>
      <c r="BH65" s="2"/>
      <c r="BI65" s="19"/>
      <c r="BJ65" s="16">
        <v>1.0</v>
      </c>
      <c r="BK65" s="2"/>
      <c r="BL65" s="19"/>
      <c r="BM65" s="16">
        <v>1.0</v>
      </c>
      <c r="BN65" s="2">
        <v>0.5</v>
      </c>
      <c r="BO65" s="19"/>
      <c r="BP65" s="16">
        <v>1.0</v>
      </c>
      <c r="BQ65" s="2">
        <v>0.5</v>
      </c>
      <c r="BR65" s="16">
        <v>2.0</v>
      </c>
      <c r="BS65" s="16">
        <v>1.0</v>
      </c>
      <c r="BT65" s="2">
        <v>0.5</v>
      </c>
      <c r="BU65" s="19"/>
      <c r="BV65" s="16">
        <v>1.0</v>
      </c>
      <c r="BW65" s="2">
        <v>0.5</v>
      </c>
      <c r="BX65" s="19"/>
      <c r="BY65" s="16">
        <v>1.0</v>
      </c>
      <c r="BZ65" s="2">
        <v>0.5</v>
      </c>
      <c r="CA65" s="19"/>
      <c r="CB65" s="16">
        <v>1.0</v>
      </c>
      <c r="CC65" s="2">
        <v>0.5</v>
      </c>
      <c r="CD65" s="19"/>
      <c r="CE65" s="16">
        <v>1.0</v>
      </c>
      <c r="CF65" s="2">
        <v>0.5</v>
      </c>
      <c r="CG65" s="19"/>
      <c r="CH65" s="16">
        <v>1.0</v>
      </c>
      <c r="CI65" s="16"/>
      <c r="CJ65" s="2">
        <v>0.5</v>
      </c>
      <c r="CK65" s="19"/>
      <c r="CL65" s="16">
        <v>1.0</v>
      </c>
      <c r="CM65" s="1" t="str">
        <f t="shared" si="85"/>
        <v>Check</v>
      </c>
      <c r="CN65" s="2">
        <v>0.5</v>
      </c>
      <c r="CO65" s="16">
        <v>2.0</v>
      </c>
      <c r="CP65" s="16">
        <v>1.0</v>
      </c>
    </row>
    <row r="66" ht="21.75" customHeight="1">
      <c r="A66" s="2" t="s">
        <v>156</v>
      </c>
      <c r="B66" s="2">
        <v>606.0</v>
      </c>
      <c r="C66" s="2" t="s">
        <v>153</v>
      </c>
      <c r="D66" s="17">
        <f>IFERROR(__xludf.DUMMYFUNCTION("""COMPUTED_VALUE"""),172.38242816308116)</f>
        <v>172.3824282</v>
      </c>
      <c r="E66" s="1"/>
      <c r="F66" s="2" t="s">
        <v>157</v>
      </c>
      <c r="G66" s="18" t="s">
        <v>158</v>
      </c>
      <c r="H66" s="2">
        <f t="shared" si="87"/>
        <v>21.5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0.5</v>
      </c>
      <c r="AQ66" s="2"/>
      <c r="AR66" s="2"/>
      <c r="AS66" s="2">
        <v>0.5</v>
      </c>
      <c r="AT66" s="2"/>
      <c r="AU66" s="2">
        <v>1.0</v>
      </c>
      <c r="AV66" s="2"/>
      <c r="AW66" s="2"/>
      <c r="AX66" s="2">
        <v>1.0</v>
      </c>
      <c r="AY66" s="2">
        <v>0.5</v>
      </c>
      <c r="AZ66" s="2"/>
      <c r="BA66" s="2">
        <v>1.0</v>
      </c>
      <c r="BB66" s="1">
        <v>0.5</v>
      </c>
      <c r="BC66" s="19"/>
      <c r="BD66" s="1">
        <v>1.0</v>
      </c>
      <c r="BE66" s="1">
        <v>0.5</v>
      </c>
      <c r="BF66" s="19"/>
      <c r="BG66" s="1">
        <v>1.0</v>
      </c>
      <c r="BH66" s="1"/>
      <c r="BI66" s="19"/>
      <c r="BJ66" s="1">
        <v>1.0</v>
      </c>
      <c r="BK66" s="1"/>
      <c r="BL66" s="19"/>
      <c r="BM66" s="1"/>
      <c r="BN66" s="2"/>
      <c r="BO66" s="19"/>
      <c r="BP66" s="2"/>
      <c r="BQ66" s="2"/>
      <c r="BR66" s="16">
        <v>2.0</v>
      </c>
      <c r="BS66" s="2"/>
      <c r="BT66" s="2"/>
      <c r="BU66" s="19"/>
      <c r="BV66" s="2"/>
      <c r="BW66" s="2">
        <v>0.5</v>
      </c>
      <c r="BX66" s="19"/>
      <c r="BY66" s="2">
        <v>1.0</v>
      </c>
      <c r="BZ66" s="2">
        <v>0.5</v>
      </c>
      <c r="CA66" s="19"/>
      <c r="CB66" s="2">
        <v>1.0</v>
      </c>
      <c r="CC66" s="2">
        <v>0.5</v>
      </c>
      <c r="CD66" s="19"/>
      <c r="CE66" s="2">
        <v>1.0</v>
      </c>
      <c r="CF66" s="2">
        <v>0.5</v>
      </c>
      <c r="CG66" s="19"/>
      <c r="CH66" s="2">
        <v>1.0</v>
      </c>
      <c r="CI66" s="2"/>
      <c r="CJ66" s="2">
        <v>0.5</v>
      </c>
      <c r="CK66" s="19"/>
      <c r="CL66" s="2">
        <v>1.0</v>
      </c>
      <c r="CM66" s="1" t="str">
        <f t="shared" si="85"/>
        <v>Check</v>
      </c>
      <c r="CN66" s="2">
        <v>0.5</v>
      </c>
      <c r="CO66" s="16">
        <v>2.0</v>
      </c>
      <c r="CP66" s="2">
        <v>1.0</v>
      </c>
    </row>
    <row r="67" ht="21.75" customHeight="1">
      <c r="A67" s="2" t="s">
        <v>159</v>
      </c>
      <c r="B67" s="2">
        <v>607.0</v>
      </c>
      <c r="C67" s="2" t="s">
        <v>15</v>
      </c>
      <c r="D67" s="17">
        <f>IFERROR(__xludf.DUMMYFUNCTION("""COMPUTED_VALUE"""),-89.2145328719721)</f>
        <v>-89.21453287</v>
      </c>
      <c r="E67" s="1"/>
      <c r="F67" s="2" t="s">
        <v>160</v>
      </c>
      <c r="G67" s="18" t="s">
        <v>161</v>
      </c>
      <c r="H67" s="2">
        <f t="shared" si="87"/>
        <v>69</v>
      </c>
      <c r="I67" s="2"/>
      <c r="J67" s="2"/>
      <c r="K67" s="2">
        <v>1.0</v>
      </c>
      <c r="L67" s="2">
        <v>0.5</v>
      </c>
      <c r="M67" s="2">
        <v>1.0</v>
      </c>
      <c r="N67" s="2">
        <v>1.0</v>
      </c>
      <c r="O67" s="2">
        <v>0.5</v>
      </c>
      <c r="P67" s="2">
        <v>1.0</v>
      </c>
      <c r="Q67" s="2">
        <v>1.0</v>
      </c>
      <c r="R67" s="2">
        <v>0.5</v>
      </c>
      <c r="S67" s="2">
        <v>1.0</v>
      </c>
      <c r="T67" s="2">
        <v>1.0</v>
      </c>
      <c r="U67" s="2">
        <v>0.5</v>
      </c>
      <c r="V67" s="2">
        <v>1.0</v>
      </c>
      <c r="W67" s="2">
        <v>1.0</v>
      </c>
      <c r="X67" s="2">
        <v>0.5</v>
      </c>
      <c r="Y67" s="2">
        <v>1.0</v>
      </c>
      <c r="Z67" s="2">
        <v>1.0</v>
      </c>
      <c r="AA67" s="2">
        <v>0.5</v>
      </c>
      <c r="AB67" s="2">
        <v>2.0</v>
      </c>
      <c r="AC67" s="2">
        <v>1.0</v>
      </c>
      <c r="AD67" s="2">
        <v>0.5</v>
      </c>
      <c r="AE67" s="2">
        <v>1.0</v>
      </c>
      <c r="AF67" s="2"/>
      <c r="AG67" s="2">
        <v>0.5</v>
      </c>
      <c r="AH67" s="2">
        <v>1.0</v>
      </c>
      <c r="AI67" s="2">
        <v>1.0</v>
      </c>
      <c r="AJ67" s="2">
        <v>0.5</v>
      </c>
      <c r="AK67" s="2">
        <v>1.0</v>
      </c>
      <c r="AL67" s="2">
        <v>1.0</v>
      </c>
      <c r="AM67" s="2">
        <v>0.5</v>
      </c>
      <c r="AN67" s="2">
        <v>1.0</v>
      </c>
      <c r="AO67" s="2">
        <v>1.0</v>
      </c>
      <c r="AP67" s="2">
        <v>0.5</v>
      </c>
      <c r="AQ67" s="2">
        <v>1.0</v>
      </c>
      <c r="AR67" s="2">
        <v>1.0</v>
      </c>
      <c r="AS67" s="2">
        <v>0.5</v>
      </c>
      <c r="AT67" s="2">
        <v>1.0</v>
      </c>
      <c r="AU67" s="2">
        <v>1.0</v>
      </c>
      <c r="AV67" s="2">
        <v>0.5</v>
      </c>
      <c r="AW67" s="2">
        <v>1.0</v>
      </c>
      <c r="AX67" s="2">
        <v>1.0</v>
      </c>
      <c r="AY67" s="2">
        <v>0.5</v>
      </c>
      <c r="AZ67" s="2">
        <v>1.0</v>
      </c>
      <c r="BA67" s="2">
        <v>1.0</v>
      </c>
      <c r="BB67" s="19"/>
      <c r="BC67" s="1">
        <v>1.0</v>
      </c>
      <c r="BD67" s="1">
        <v>1.0</v>
      </c>
      <c r="BE67" s="16">
        <v>0.5</v>
      </c>
      <c r="BF67" s="1">
        <v>1.0</v>
      </c>
      <c r="BG67" s="1">
        <v>1.0</v>
      </c>
      <c r="BH67" s="16"/>
      <c r="BI67" s="1">
        <v>1.0</v>
      </c>
      <c r="BJ67" s="1">
        <v>1.0</v>
      </c>
      <c r="BK67" s="16"/>
      <c r="BL67" s="1">
        <v>1.0</v>
      </c>
      <c r="BM67" s="1">
        <v>1.0</v>
      </c>
      <c r="BN67" s="16">
        <v>0.5</v>
      </c>
      <c r="BO67" s="1">
        <v>1.0</v>
      </c>
      <c r="BP67" s="1">
        <v>1.0</v>
      </c>
      <c r="BQ67" s="16">
        <v>0.5</v>
      </c>
      <c r="BR67" s="2">
        <v>2.0</v>
      </c>
      <c r="BS67" s="1">
        <v>1.0</v>
      </c>
      <c r="BT67" s="16">
        <v>0.5</v>
      </c>
      <c r="BU67" s="1">
        <v>1.0</v>
      </c>
      <c r="BV67" s="1">
        <v>1.0</v>
      </c>
      <c r="BW67" s="16">
        <v>0.5</v>
      </c>
      <c r="BX67" s="1">
        <v>1.0</v>
      </c>
      <c r="BY67" s="1">
        <v>1.0</v>
      </c>
      <c r="BZ67" s="16">
        <v>0.5</v>
      </c>
      <c r="CA67" s="1">
        <v>1.0</v>
      </c>
      <c r="CB67" s="1">
        <v>1.0</v>
      </c>
      <c r="CC67" s="16">
        <v>0.5</v>
      </c>
      <c r="CD67" s="1">
        <v>1.0</v>
      </c>
      <c r="CE67" s="1">
        <v>1.0</v>
      </c>
      <c r="CF67" s="16">
        <v>0.5</v>
      </c>
      <c r="CG67" s="1">
        <v>1.0</v>
      </c>
      <c r="CH67" s="1">
        <v>1.0</v>
      </c>
      <c r="CI67" s="1"/>
      <c r="CJ67" s="16">
        <v>0.5</v>
      </c>
      <c r="CK67" s="1">
        <v>1.0</v>
      </c>
      <c r="CL67" s="2">
        <v>1.0</v>
      </c>
      <c r="CM67" s="1" t="str">
        <f t="shared" si="85"/>
        <v>OK</v>
      </c>
      <c r="CN67" s="16">
        <v>0.5</v>
      </c>
      <c r="CO67" s="2">
        <v>2.0</v>
      </c>
      <c r="CP67" s="1">
        <v>1.0</v>
      </c>
    </row>
    <row r="68" ht="21.75" customHeight="1">
      <c r="A68" s="2" t="s">
        <v>162</v>
      </c>
      <c r="B68" s="2">
        <v>607.0</v>
      </c>
      <c r="C68" s="2" t="s">
        <v>69</v>
      </c>
      <c r="D68" s="17">
        <f>IFERROR(__xludf.DUMMYFUNCTION("""COMPUTED_VALUE"""),394.6157665112082)</f>
        <v>394.6157665</v>
      </c>
      <c r="E68" s="1"/>
      <c r="F68" s="2" t="s">
        <v>163</v>
      </c>
      <c r="G68" s="18" t="s">
        <v>164</v>
      </c>
      <c r="H68" s="2">
        <f t="shared" si="87"/>
        <v>49</v>
      </c>
      <c r="I68" s="2"/>
      <c r="J68" s="2"/>
      <c r="K68" s="2">
        <v>1.0</v>
      </c>
      <c r="L68" s="2">
        <v>0.5</v>
      </c>
      <c r="M68" s="2">
        <v>1.0</v>
      </c>
      <c r="N68" s="2">
        <v>1.0</v>
      </c>
      <c r="O68" s="2">
        <v>0.5</v>
      </c>
      <c r="P68" s="2">
        <v>1.0</v>
      </c>
      <c r="Q68" s="2">
        <v>1.0</v>
      </c>
      <c r="R68" s="2">
        <v>0.5</v>
      </c>
      <c r="S68" s="2">
        <v>1.0</v>
      </c>
      <c r="T68" s="2">
        <v>1.0</v>
      </c>
      <c r="U68" s="2">
        <v>0.5</v>
      </c>
      <c r="V68" s="2">
        <v>1.0</v>
      </c>
      <c r="W68" s="2">
        <v>1.0</v>
      </c>
      <c r="X68" s="2">
        <v>0.5</v>
      </c>
      <c r="Y68" s="2">
        <v>1.0</v>
      </c>
      <c r="Z68" s="2"/>
      <c r="AA68" s="2">
        <v>0.5</v>
      </c>
      <c r="AB68" s="2">
        <v>2.0</v>
      </c>
      <c r="AC68" s="2"/>
      <c r="AD68" s="2">
        <v>0.5</v>
      </c>
      <c r="AE68" s="2"/>
      <c r="AF68" s="2"/>
      <c r="AG68" s="2">
        <v>0.5</v>
      </c>
      <c r="AH68" s="2">
        <v>1.0</v>
      </c>
      <c r="AI68" s="2"/>
      <c r="AJ68" s="2">
        <v>0.5</v>
      </c>
      <c r="AK68" s="2">
        <v>1.0</v>
      </c>
      <c r="AL68" s="2"/>
      <c r="AM68" s="2">
        <v>0.5</v>
      </c>
      <c r="AN68" s="2">
        <v>1.0</v>
      </c>
      <c r="AO68" s="2"/>
      <c r="AP68" s="2">
        <v>0.5</v>
      </c>
      <c r="AQ68" s="2">
        <v>1.0</v>
      </c>
      <c r="AR68" s="2">
        <v>1.0</v>
      </c>
      <c r="AS68" s="2">
        <v>0.5</v>
      </c>
      <c r="AT68" s="2">
        <v>1.0</v>
      </c>
      <c r="AU68" s="2"/>
      <c r="AV68" s="2">
        <v>0.5</v>
      </c>
      <c r="AW68" s="2">
        <v>1.0</v>
      </c>
      <c r="AX68" s="2"/>
      <c r="AY68" s="2">
        <v>0.5</v>
      </c>
      <c r="AZ68" s="2">
        <v>1.0</v>
      </c>
      <c r="BA68" s="2"/>
      <c r="BB68" s="1">
        <v>0.5</v>
      </c>
      <c r="BC68" s="1">
        <v>1.0</v>
      </c>
      <c r="BD68" s="19"/>
      <c r="BE68" s="1">
        <v>0.5</v>
      </c>
      <c r="BF68" s="1">
        <v>1.0</v>
      </c>
      <c r="BG68" s="19"/>
      <c r="BH68" s="1">
        <v>0.5</v>
      </c>
      <c r="BI68" s="1">
        <v>1.0</v>
      </c>
      <c r="BJ68" s="19"/>
      <c r="BK68" s="1"/>
      <c r="BL68" s="1">
        <v>1.0</v>
      </c>
      <c r="BM68" s="19"/>
      <c r="BN68" s="1">
        <v>0.5</v>
      </c>
      <c r="BO68" s="1">
        <v>1.0</v>
      </c>
      <c r="BP68" s="19"/>
      <c r="BQ68" s="1">
        <v>0.5</v>
      </c>
      <c r="BR68" s="2">
        <v>2.0</v>
      </c>
      <c r="BS68" s="19"/>
      <c r="BT68" s="1">
        <v>0.5</v>
      </c>
      <c r="BU68" s="1">
        <v>1.0</v>
      </c>
      <c r="BV68" s="19"/>
      <c r="BW68" s="1">
        <v>0.5</v>
      </c>
      <c r="BX68" s="1">
        <v>1.0</v>
      </c>
      <c r="BY68" s="19"/>
      <c r="BZ68" s="1">
        <v>0.5</v>
      </c>
      <c r="CA68" s="1">
        <v>1.0</v>
      </c>
      <c r="CB68" s="19"/>
      <c r="CC68" s="1">
        <v>0.5</v>
      </c>
      <c r="CD68" s="1">
        <v>1.0</v>
      </c>
      <c r="CE68" s="19"/>
      <c r="CF68" s="1">
        <v>0.5</v>
      </c>
      <c r="CG68" s="1">
        <v>1.0</v>
      </c>
      <c r="CH68" s="19"/>
      <c r="CI68" s="19"/>
      <c r="CJ68" s="1">
        <v>0.5</v>
      </c>
      <c r="CK68" s="1">
        <v>1.0</v>
      </c>
      <c r="CL68" s="16">
        <v>1.0</v>
      </c>
      <c r="CM68" s="1" t="str">
        <f t="shared" si="85"/>
        <v>OK</v>
      </c>
      <c r="CN68" s="1">
        <v>0.5</v>
      </c>
      <c r="CO68" s="2">
        <v>2.0</v>
      </c>
      <c r="CP68" s="16"/>
    </row>
    <row r="69" ht="21.75" customHeight="1">
      <c r="A69" s="2" t="s">
        <v>165</v>
      </c>
      <c r="B69" s="2">
        <v>607.0</v>
      </c>
      <c r="C69" s="2" t="s">
        <v>15</v>
      </c>
      <c r="D69" s="17">
        <f>IFERROR(__xludf.DUMMYFUNCTION("""COMPUTED_VALUE"""),-279.10846998645957)</f>
        <v>-279.10847</v>
      </c>
      <c r="E69" s="1"/>
      <c r="F69" s="2" t="s">
        <v>166</v>
      </c>
      <c r="G69" s="18" t="s">
        <v>131</v>
      </c>
      <c r="H69" s="2">
        <f t="shared" si="87"/>
        <v>81.5</v>
      </c>
      <c r="I69" s="2"/>
      <c r="J69" s="2"/>
      <c r="K69" s="2">
        <v>2.0</v>
      </c>
      <c r="L69" s="2">
        <v>1.0</v>
      </c>
      <c r="M69" s="2">
        <v>2.0</v>
      </c>
      <c r="N69" s="2">
        <v>2.0</v>
      </c>
      <c r="O69" s="2">
        <v>1.0</v>
      </c>
      <c r="P69" s="2">
        <v>2.0</v>
      </c>
      <c r="Q69" s="2">
        <v>2.0</v>
      </c>
      <c r="R69" s="2">
        <v>1.0</v>
      </c>
      <c r="S69" s="2">
        <v>2.0</v>
      </c>
      <c r="T69" s="2">
        <v>2.0</v>
      </c>
      <c r="U69" s="2">
        <v>1.0</v>
      </c>
      <c r="V69" s="2">
        <v>2.0</v>
      </c>
      <c r="W69" s="2">
        <v>2.0</v>
      </c>
      <c r="X69" s="2">
        <v>1.0</v>
      </c>
      <c r="Y69" s="2">
        <v>2.0</v>
      </c>
      <c r="Z69" s="2">
        <v>2.0</v>
      </c>
      <c r="AA69" s="2">
        <v>0.5</v>
      </c>
      <c r="AB69" s="2">
        <v>2.0</v>
      </c>
      <c r="AC69" s="2">
        <v>1.0</v>
      </c>
      <c r="AD69" s="2">
        <v>0.5</v>
      </c>
      <c r="AE69" s="2">
        <v>1.0</v>
      </c>
      <c r="AF69" s="2"/>
      <c r="AG69" s="2">
        <v>0.5</v>
      </c>
      <c r="AH69" s="2">
        <v>1.0</v>
      </c>
      <c r="AI69" s="2">
        <v>1.0</v>
      </c>
      <c r="AJ69" s="2">
        <v>0.5</v>
      </c>
      <c r="AK69" s="2">
        <v>1.0</v>
      </c>
      <c r="AL69" s="2">
        <v>1.0</v>
      </c>
      <c r="AM69" s="2">
        <v>0.5</v>
      </c>
      <c r="AN69" s="2">
        <v>1.0</v>
      </c>
      <c r="AO69" s="2">
        <v>1.0</v>
      </c>
      <c r="AP69" s="2">
        <v>0.5</v>
      </c>
      <c r="AQ69" s="2">
        <v>1.0</v>
      </c>
      <c r="AR69" s="2">
        <v>1.0</v>
      </c>
      <c r="AS69" s="2">
        <v>0.5</v>
      </c>
      <c r="AT69" s="2">
        <v>1.0</v>
      </c>
      <c r="AU69" s="2">
        <v>1.0</v>
      </c>
      <c r="AV69" s="2"/>
      <c r="AW69" s="2"/>
      <c r="AX69" s="2">
        <v>1.0</v>
      </c>
      <c r="AY69" s="2">
        <v>0.5</v>
      </c>
      <c r="AZ69" s="2">
        <v>1.0</v>
      </c>
      <c r="BA69" s="2">
        <v>1.0</v>
      </c>
      <c r="BB69" s="1">
        <v>0.5</v>
      </c>
      <c r="BC69" s="1">
        <v>1.0</v>
      </c>
      <c r="BD69" s="1">
        <v>1.0</v>
      </c>
      <c r="BE69" s="1">
        <v>0.5</v>
      </c>
      <c r="BF69" s="1">
        <v>1.0</v>
      </c>
      <c r="BG69" s="1">
        <v>1.0</v>
      </c>
      <c r="BH69" s="1"/>
      <c r="BI69" s="1">
        <v>1.0</v>
      </c>
      <c r="BJ69" s="1">
        <v>1.0</v>
      </c>
      <c r="BK69" s="1"/>
      <c r="BL69" s="1">
        <v>1.0</v>
      </c>
      <c r="BM69" s="1">
        <v>1.0</v>
      </c>
      <c r="BN69" s="1">
        <v>0.5</v>
      </c>
      <c r="BO69" s="1">
        <v>1.0</v>
      </c>
      <c r="BP69" s="1">
        <v>1.0</v>
      </c>
      <c r="BQ69" s="1">
        <v>0.5</v>
      </c>
      <c r="BR69" s="2">
        <v>2.0</v>
      </c>
      <c r="BS69" s="1">
        <v>1.0</v>
      </c>
      <c r="BT69" s="1">
        <v>0.5</v>
      </c>
      <c r="BU69" s="1">
        <v>1.0</v>
      </c>
      <c r="BV69" s="1">
        <v>1.0</v>
      </c>
      <c r="BW69" s="1">
        <v>0.5</v>
      </c>
      <c r="BX69" s="1">
        <v>1.0</v>
      </c>
      <c r="BY69" s="1">
        <v>1.0</v>
      </c>
      <c r="BZ69" s="1">
        <v>0.5</v>
      </c>
      <c r="CA69" s="1">
        <v>1.0</v>
      </c>
      <c r="CB69" s="1">
        <v>1.0</v>
      </c>
      <c r="CC69" s="1">
        <v>0.5</v>
      </c>
      <c r="CD69" s="1">
        <v>1.0</v>
      </c>
      <c r="CE69" s="1">
        <v>1.0</v>
      </c>
      <c r="CF69" s="1">
        <v>0.5</v>
      </c>
      <c r="CG69" s="1">
        <v>1.0</v>
      </c>
      <c r="CH69" s="1">
        <v>1.0</v>
      </c>
      <c r="CI69" s="1"/>
      <c r="CJ69" s="1">
        <v>0.5</v>
      </c>
      <c r="CK69" s="1">
        <v>1.0</v>
      </c>
      <c r="CL69" s="2">
        <v>1.0</v>
      </c>
      <c r="CM69" s="1" t="str">
        <f t="shared" si="85"/>
        <v>OK</v>
      </c>
      <c r="CN69" s="1">
        <v>0.5</v>
      </c>
      <c r="CO69" s="2">
        <v>2.0</v>
      </c>
      <c r="CP69" s="1">
        <v>1.0</v>
      </c>
    </row>
    <row r="70" ht="21.75" customHeight="1">
      <c r="A70" s="2"/>
      <c r="B70" s="2"/>
      <c r="C70" s="2"/>
      <c r="D70" s="2"/>
      <c r="E70" s="1"/>
      <c r="F70" s="2"/>
      <c r="G70" s="4"/>
      <c r="H70" s="2">
        <f t="shared" si="87"/>
        <v>0</v>
      </c>
      <c r="I70" s="2"/>
      <c r="J70" s="2"/>
      <c r="K70" s="2"/>
      <c r="L70" s="1"/>
      <c r="M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ht="21.75" customHeight="1">
      <c r="A71" s="1"/>
      <c r="B71" s="1"/>
      <c r="C71" s="1"/>
      <c r="D71" s="1"/>
      <c r="E71" s="1"/>
      <c r="F71" s="2"/>
      <c r="G71" s="4"/>
      <c r="H71" s="2">
        <f t="shared" si="87"/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ht="21.75" customHeight="1">
      <c r="A72" s="1"/>
      <c r="B72" s="1"/>
      <c r="C72" s="1"/>
      <c r="D72" s="1"/>
      <c r="E72" s="1"/>
      <c r="F72" s="1"/>
      <c r="G72" s="4"/>
      <c r="H72" s="2">
        <f t="shared" si="87"/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ht="21.75" customHeight="1">
      <c r="A73" s="1"/>
      <c r="B73" s="1"/>
      <c r="C73" s="1"/>
      <c r="D73" s="1"/>
      <c r="E73" s="1"/>
      <c r="F73" s="1"/>
      <c r="G73" s="4"/>
      <c r="H73" s="2">
        <f t="shared" si="87"/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ht="21.75" customHeight="1">
      <c r="A74" s="1"/>
      <c r="B74" s="1"/>
      <c r="C74" s="1"/>
      <c r="D74" s="1"/>
      <c r="E74" s="1"/>
      <c r="F74" s="1"/>
      <c r="G74" s="4"/>
      <c r="H74" s="2">
        <f t="shared" si="87"/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ht="21.75" customHeight="1">
      <c r="A75" s="1"/>
      <c r="B75" s="1"/>
      <c r="C75" s="1"/>
      <c r="D75" s="1"/>
      <c r="E75" s="1"/>
      <c r="F75" s="1"/>
      <c r="G75" s="4"/>
      <c r="H75" s="2">
        <f t="shared" si="87"/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ht="21.75" customHeight="1">
      <c r="A76" s="1"/>
      <c r="B76" s="1"/>
      <c r="C76" s="1"/>
      <c r="D76" s="1"/>
      <c r="E76" s="1"/>
      <c r="F76" s="1"/>
      <c r="G76" s="4"/>
      <c r="H76" s="2">
        <f t="shared" si="87"/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ht="21.75" customHeight="1">
      <c r="A77" s="1"/>
      <c r="B77" s="1"/>
      <c r="C77" s="1"/>
      <c r="D77" s="1"/>
      <c r="E77" s="1"/>
      <c r="F77" s="1"/>
      <c r="G77" s="4"/>
      <c r="H77" s="2">
        <f t="shared" si="87"/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ht="21.75" customHeight="1">
      <c r="A78" s="1"/>
      <c r="B78" s="1"/>
      <c r="C78" s="1"/>
      <c r="D78" s="1"/>
      <c r="E78" s="1"/>
      <c r="F78" s="1"/>
      <c r="G78" s="4"/>
      <c r="H78" s="2">
        <f t="shared" si="87"/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ht="21.75" customHeight="1">
      <c r="A79" s="1"/>
      <c r="B79" s="1"/>
      <c r="C79" s="1"/>
      <c r="D79" s="1"/>
      <c r="E79" s="1"/>
      <c r="F79" s="1"/>
      <c r="G79" s="4"/>
      <c r="H79" s="2">
        <f t="shared" si="87"/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ht="21.75" customHeight="1">
      <c r="A80" s="1"/>
      <c r="B80" s="1"/>
      <c r="C80" s="1"/>
      <c r="D80" s="1"/>
      <c r="E80" s="1"/>
      <c r="F80" s="1"/>
      <c r="G80" s="4"/>
      <c r="H80" s="2">
        <f t="shared" si="87"/>
        <v>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ht="21.75" customHeight="1">
      <c r="A81" s="1"/>
      <c r="B81" s="1"/>
      <c r="C81" s="1"/>
      <c r="D81" s="1"/>
      <c r="E81" s="1"/>
      <c r="F81" s="1"/>
      <c r="G81" s="4"/>
      <c r="H81" s="2">
        <f t="shared" si="87"/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ht="21.75" customHeight="1">
      <c r="A82" s="1"/>
      <c r="B82" s="1"/>
      <c r="C82" s="1"/>
      <c r="D82" s="1"/>
      <c r="E82" s="1"/>
      <c r="F82" s="1"/>
      <c r="G82" s="4"/>
      <c r="H82" s="2">
        <f t="shared" si="87"/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ht="21.75" customHeight="1">
      <c r="A83" s="1"/>
      <c r="B83" s="1"/>
      <c r="C83" s="1"/>
      <c r="D83" s="1"/>
      <c r="E83" s="1"/>
      <c r="F83" s="1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ht="21.75" customHeight="1">
      <c r="A84" s="1"/>
      <c r="B84" s="1"/>
      <c r="C84" s="1"/>
      <c r="D84" s="1"/>
      <c r="E84" s="1"/>
      <c r="F84" s="1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ht="21.75" customHeight="1">
      <c r="A85" s="1"/>
      <c r="B85" s="1"/>
      <c r="C85" s="1"/>
      <c r="D85" s="1"/>
      <c r="E85" s="1"/>
      <c r="F85" s="1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ht="21.75" customHeight="1">
      <c r="A86" s="1"/>
      <c r="B86" s="1"/>
      <c r="C86" s="1"/>
      <c r="D86" s="1"/>
      <c r="E86" s="1"/>
      <c r="F86" s="1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ht="21.75" customHeight="1">
      <c r="A87" s="1"/>
      <c r="B87" s="1"/>
      <c r="C87" s="1"/>
      <c r="D87" s="1"/>
      <c r="E87" s="1"/>
      <c r="F87" s="1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ht="21.75" customHeight="1">
      <c r="A88" s="1"/>
      <c r="B88" s="1"/>
      <c r="C88" s="1"/>
      <c r="D88" s="1"/>
      <c r="E88" s="1"/>
      <c r="F88" s="1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ht="21.75" customHeight="1">
      <c r="A89" s="1"/>
      <c r="B89" s="1"/>
      <c r="C89" s="1"/>
      <c r="D89" s="1"/>
      <c r="E89" s="1"/>
      <c r="F89" s="1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ht="21.75" customHeight="1">
      <c r="A90" s="1"/>
      <c r="B90" s="1"/>
      <c r="C90" s="1"/>
      <c r="D90" s="1"/>
      <c r="E90" s="1"/>
      <c r="F90" s="1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ht="21.75" customHeight="1">
      <c r="A91" s="1"/>
      <c r="B91" s="1"/>
      <c r="C91" s="1"/>
      <c r="D91" s="1"/>
      <c r="E91" s="1"/>
      <c r="F91" s="1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ht="21.75" customHeight="1">
      <c r="A92" s="1"/>
      <c r="B92" s="1"/>
      <c r="C92" s="1"/>
      <c r="D92" s="1"/>
      <c r="E92" s="1"/>
      <c r="F92" s="1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ht="21.75" customHeight="1">
      <c r="A93" s="1"/>
      <c r="B93" s="1"/>
      <c r="C93" s="1"/>
      <c r="D93" s="1"/>
      <c r="E93" s="1"/>
      <c r="F93" s="1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ht="21.75" customHeight="1">
      <c r="A94" s="1"/>
      <c r="B94" s="1"/>
      <c r="C94" s="1"/>
      <c r="D94" s="1"/>
      <c r="E94" s="1"/>
      <c r="F94" s="1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ht="21.75" customHeight="1">
      <c r="A95" s="1"/>
      <c r="B95" s="1"/>
      <c r="C95" s="1"/>
      <c r="D95" s="1"/>
      <c r="E95" s="1"/>
      <c r="F95" s="1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ht="21.75" customHeight="1">
      <c r="A96" s="1"/>
      <c r="B96" s="1"/>
      <c r="C96" s="1"/>
      <c r="D96" s="1"/>
      <c r="E96" s="1"/>
      <c r="F96" s="1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ht="21.75" customHeight="1">
      <c r="A97" s="1"/>
      <c r="B97" s="1"/>
      <c r="C97" s="1"/>
      <c r="D97" s="1"/>
      <c r="E97" s="1"/>
      <c r="F97" s="1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ht="21.75" customHeight="1">
      <c r="A98" s="1"/>
      <c r="B98" s="1"/>
      <c r="C98" s="1"/>
      <c r="D98" s="1"/>
      <c r="E98" s="1"/>
      <c r="F98" s="1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ht="21.75" customHeight="1">
      <c r="A99" s="1"/>
      <c r="B99" s="1"/>
      <c r="C99" s="1"/>
      <c r="D99" s="1"/>
      <c r="E99" s="1"/>
      <c r="F99" s="1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ht="21.75" customHeight="1">
      <c r="A100" s="1"/>
      <c r="B100" s="1"/>
      <c r="C100" s="1"/>
      <c r="D100" s="1"/>
      <c r="E100" s="1"/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ht="21.75" customHeight="1">
      <c r="A101" s="1"/>
      <c r="B101" s="1"/>
      <c r="C101" s="1"/>
      <c r="D101" s="1"/>
      <c r="E101" s="1"/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ht="21.75" customHeight="1">
      <c r="A102" s="1"/>
      <c r="B102" s="1"/>
      <c r="C102" s="1"/>
      <c r="D102" s="1"/>
      <c r="E102" s="1"/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ht="21.75" customHeight="1">
      <c r="A103" s="1"/>
      <c r="B103" s="1"/>
      <c r="C103" s="1"/>
      <c r="D103" s="1"/>
      <c r="E103" s="1"/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ht="21.75" customHeight="1">
      <c r="A104" s="1"/>
      <c r="B104" s="1"/>
      <c r="C104" s="1"/>
      <c r="D104" s="1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ht="21.75" customHeight="1">
      <c r="A105" s="1"/>
      <c r="B105" s="1"/>
      <c r="C105" s="1"/>
      <c r="D105" s="1"/>
      <c r="E105" s="1"/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ht="21.75" customHeight="1">
      <c r="A106" s="1"/>
      <c r="B106" s="1"/>
      <c r="C106" s="1"/>
      <c r="D106" s="1"/>
      <c r="E106" s="1"/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ht="21.75" customHeight="1">
      <c r="A107" s="1"/>
      <c r="B107" s="1"/>
      <c r="C107" s="1"/>
      <c r="D107" s="1"/>
      <c r="E107" s="1"/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ht="21.75" customHeight="1">
      <c r="A108" s="1"/>
      <c r="B108" s="1"/>
      <c r="C108" s="1"/>
      <c r="D108" s="1"/>
      <c r="E108" s="1"/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ht="21.75" customHeight="1">
      <c r="A109" s="1"/>
      <c r="B109" s="1"/>
      <c r="C109" s="1"/>
      <c r="D109" s="1"/>
      <c r="E109" s="1"/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ht="21.75" customHeight="1">
      <c r="A110" s="1"/>
      <c r="B110" s="1"/>
      <c r="C110" s="1"/>
      <c r="D110" s="1"/>
      <c r="E110" s="1"/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ht="21.75" customHeight="1">
      <c r="A111" s="1"/>
      <c r="B111" s="1"/>
      <c r="C111" s="1"/>
      <c r="D111" s="1"/>
      <c r="E111" s="1"/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ht="21.75" customHeight="1">
      <c r="A112" s="1"/>
      <c r="B112" s="1"/>
      <c r="C112" s="1"/>
      <c r="D112" s="1"/>
      <c r="E112" s="1"/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ht="21.75" customHeight="1">
      <c r="A113" s="1"/>
      <c r="B113" s="1"/>
      <c r="C113" s="1"/>
      <c r="D113" s="1"/>
      <c r="E113" s="1"/>
      <c r="F113" s="1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ht="21.75" customHeight="1">
      <c r="A114" s="1"/>
      <c r="B114" s="1"/>
      <c r="C114" s="1"/>
      <c r="D114" s="1"/>
      <c r="E114" s="1"/>
      <c r="F114" s="1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ht="21.75" customHeight="1">
      <c r="A115" s="1"/>
      <c r="B115" s="1"/>
      <c r="C115" s="1"/>
      <c r="D115" s="1"/>
      <c r="E115" s="1"/>
      <c r="F115" s="1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ht="21.75" customHeight="1">
      <c r="A116" s="1"/>
      <c r="B116" s="1"/>
      <c r="C116" s="1"/>
      <c r="D116" s="1"/>
      <c r="E116" s="1"/>
      <c r="F116" s="1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ht="21.75" customHeight="1">
      <c r="A117" s="1"/>
      <c r="B117" s="1"/>
      <c r="C117" s="1"/>
      <c r="D117" s="1"/>
      <c r="E117" s="1"/>
      <c r="F117" s="1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ht="21.75" customHeight="1">
      <c r="A118" s="1"/>
      <c r="B118" s="1"/>
      <c r="C118" s="1"/>
      <c r="D118" s="1"/>
      <c r="E118" s="1"/>
      <c r="F118" s="1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ht="21.75" customHeight="1">
      <c r="A119" s="1"/>
      <c r="B119" s="1"/>
      <c r="C119" s="1"/>
      <c r="D119" s="1"/>
      <c r="E119" s="1"/>
      <c r="F119" s="1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ht="21.75" customHeight="1">
      <c r="A120" s="1"/>
      <c r="B120" s="1"/>
      <c r="C120" s="1"/>
      <c r="D120" s="1"/>
      <c r="E120" s="1"/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ht="21.75" customHeight="1">
      <c r="A121" s="1"/>
      <c r="B121" s="1"/>
      <c r="C121" s="1"/>
      <c r="D121" s="1"/>
      <c r="E121" s="1"/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ht="21.75" customHeight="1">
      <c r="A122" s="1"/>
      <c r="B122" s="1"/>
      <c r="C122" s="1"/>
      <c r="D122" s="1"/>
      <c r="E122" s="1"/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ht="21.75" customHeight="1">
      <c r="A123" s="1"/>
      <c r="B123" s="1"/>
      <c r="C123" s="1"/>
      <c r="D123" s="1"/>
      <c r="E123" s="1"/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ht="21.75" customHeight="1">
      <c r="A124" s="1"/>
      <c r="B124" s="1"/>
      <c r="C124" s="1"/>
      <c r="D124" s="1"/>
      <c r="E124" s="1"/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</sheetData>
  <mergeCells count="30">
    <mergeCell ref="BE1:BG1"/>
    <mergeCell ref="BB1:BD1"/>
    <mergeCell ref="CN1:CP1"/>
    <mergeCell ref="CJ1:CL1"/>
    <mergeCell ref="CF1:CH1"/>
    <mergeCell ref="CC1:CE1"/>
    <mergeCell ref="BZ1:CB1"/>
    <mergeCell ref="BW1:BY1"/>
    <mergeCell ref="BT1:BV1"/>
    <mergeCell ref="AV1:AX1"/>
    <mergeCell ref="AS1:AU1"/>
    <mergeCell ref="AP1:AR1"/>
    <mergeCell ref="AM1:AO1"/>
    <mergeCell ref="AJ1:AL1"/>
    <mergeCell ref="AG1:AI1"/>
    <mergeCell ref="L1:N1"/>
    <mergeCell ref="I1:K1"/>
    <mergeCell ref="A3:B3"/>
    <mergeCell ref="A6:B6"/>
    <mergeCell ref="AA1:AC1"/>
    <mergeCell ref="X1:Z1"/>
    <mergeCell ref="U1:W1"/>
    <mergeCell ref="R1:T1"/>
    <mergeCell ref="O1:Q1"/>
    <mergeCell ref="AD1:AF1"/>
    <mergeCell ref="BQ1:BS1"/>
    <mergeCell ref="BN1:BP1"/>
    <mergeCell ref="BK1:BM1"/>
    <mergeCell ref="BH1:BJ1"/>
    <mergeCell ref="AY1:BA1"/>
  </mergeCells>
  <conditionalFormatting sqref="D8:D108">
    <cfRule type="cellIs" dxfId="0" priority="1" operator="lessThanOrEqual">
      <formula>-100</formula>
    </cfRule>
  </conditionalFormatting>
  <conditionalFormatting sqref="D1:D124">
    <cfRule type="cellIs" dxfId="1" priority="2" operator="greaterThan">
      <formula>200</formula>
    </cfRule>
  </conditionalFormatting>
  <conditionalFormatting sqref="D8:D108">
    <cfRule type="cellIs" dxfId="2" priority="3" operator="lessThanOrEqual">
      <formula>200</formula>
    </cfRule>
  </conditionalFormatting>
  <printOptions/>
  <pageMargins bottom="1.0" footer="0.0" header="0.0" left="1.0" right="1.0" top="1.0"/>
  <pageSetup fitToHeight="0" paperSize="9" orientation="portrait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88"/>
    <col customWidth="1" min="2" max="2" width="19.38"/>
    <col customWidth="1" min="3" max="3" width="13.25"/>
    <col customWidth="1" min="4" max="5" width="20.38"/>
    <col customWidth="1" min="6" max="6" width="19.0"/>
    <col customWidth="1" min="7" max="7" width="12.13"/>
    <col customWidth="1" min="8" max="8" width="12.88"/>
    <col customWidth="1" min="9" max="9" width="12.25"/>
    <col customWidth="1" min="10" max="10" width="13.0"/>
    <col customWidth="1" min="11" max="11" width="10.63"/>
    <col customWidth="1" min="12" max="12" width="34.0"/>
    <col customWidth="1" min="13" max="13" width="8.63"/>
    <col customWidth="1" min="14" max="14" width="84.75"/>
    <col customWidth="1" min="15" max="15" width="13.88"/>
    <col customWidth="1" min="16" max="16" width="27.13"/>
  </cols>
  <sheetData>
    <row r="1">
      <c r="A1" s="26"/>
      <c r="B1" s="27" t="s">
        <v>167</v>
      </c>
      <c r="D1" s="28">
        <f>sum(D3:D64)</f>
        <v>163205</v>
      </c>
      <c r="E1" s="28"/>
      <c r="F1" s="28"/>
      <c r="G1" s="29">
        <f>sum(G3:G64)-5000</f>
        <v>14800</v>
      </c>
      <c r="H1" s="30">
        <f>sum(H3:H65)</f>
        <v>1600</v>
      </c>
      <c r="I1" s="31">
        <f>SUM(G3:I64)</f>
        <v>23230</v>
      </c>
      <c r="J1" s="32"/>
      <c r="K1" s="33" t="str">
        <f>sum(K3:K64)</f>
        <v>#REF!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34" t="s">
        <v>0</v>
      </c>
      <c r="B2" s="34" t="s">
        <v>1</v>
      </c>
      <c r="C2" s="35" t="s">
        <v>168</v>
      </c>
      <c r="D2" s="36" t="s">
        <v>169</v>
      </c>
      <c r="E2" s="36" t="s">
        <v>4</v>
      </c>
      <c r="F2" s="37" t="s">
        <v>170</v>
      </c>
      <c r="G2" s="38" t="s">
        <v>171</v>
      </c>
      <c r="H2" s="39" t="s">
        <v>172</v>
      </c>
      <c r="I2" s="40" t="s">
        <v>173</v>
      </c>
      <c r="J2" s="41" t="s">
        <v>174</v>
      </c>
      <c r="K2" s="42" t="s">
        <v>175</v>
      </c>
      <c r="L2" s="43" t="s">
        <v>176</v>
      </c>
      <c r="M2" s="11"/>
      <c r="N2" s="44" t="s">
        <v>177</v>
      </c>
      <c r="O2" s="32"/>
      <c r="P2" s="32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45" t="str">
        <f>IFERROR(__xludf.DUMMYFUNCTION("IMPORTRANGE(""https://docs.google.com/spreadsheets/d/1fcNkJZbv3x4pvwWWH2-A5i2kZk1X5CwnTUf0Drckuwo/edit?gid=1463191605#gid=1463191605"", ""meal!a8:a100"")"),"Joy")</f>
        <v>Joy</v>
      </c>
      <c r="B3" s="45">
        <f>IFERROR(__xludf.DUMMYFUNCTION("IMPORTRANGE(""https://docs.google.com/spreadsheets/d/1fcNkJZbv3x4pvwWWH2-A5i2kZk1X5CwnTUf0Drckuwo/edit?gid=1463191605#gid=1463191605"", ""meal!b8:b100"")"),201.0)</f>
        <v>201</v>
      </c>
      <c r="C3" s="46">
        <f>IFERROR(__xludf.DUMMYFUNCTION("IMPORTRANGE(""https://docs.google.com/spreadsheets/d/1fcNkJZbv3x4pvwWWH2-A5i2kZk1X5CwnTUf0Drckuwo/edit?gid=1463191605#gid=1463191605"", ""meal!h8:h100"")"),60.0)</f>
        <v>60</v>
      </c>
      <c r="D3" s="34">
        <f>IFERROR(__xludf.DUMMYFUNCTION("IF(E3&lt;&gt;"""", SUM(ArrayFormula(VALUE(SPLIT(E3, ""+"")))), 0)"),3000.0)</f>
        <v>3000</v>
      </c>
      <c r="E3" s="34" t="str">
        <f>IFERROR(__xludf.DUMMYFUNCTION("IMPORTRANGE(""https://docs.google.com/spreadsheets/d/1fcNkJZbv3x4pvwWWH2-A5i2kZk1X5CwnTUf0Drckuwo/edit?gid=1463191605#gid=1463191605"", ""meal!f8:f100"")"),"1000+500+1000+500")</f>
        <v>1000+500+1000+500</v>
      </c>
      <c r="F3" s="47" t="str">
        <f>IFERROR(__xludf.DUMMYFUNCTION("IMPORTRANGE(""https://docs.google.com/spreadsheets/d/1fcNkJZbv3x4pvwWWH2-A5i2kZk1X5CwnTUf0Drckuwo/edit?gid=1463191605#gid=1463191605"", ""meal!g8:g100"")"),"4Feb+13Feb+14Feb+21Feb")</f>
        <v>4Feb+13Feb+14Feb+21Feb</v>
      </c>
      <c r="G3" s="32">
        <v>330.0</v>
      </c>
      <c r="H3" s="30">
        <v>25.0</v>
      </c>
      <c r="I3" s="32">
        <v>30.0</v>
      </c>
      <c r="J3" s="48" t="str">
        <f>IFERROR(__xludf.DUMMYFUNCTION("SUM(C3*IMPORTRANGE(""https://docs.google.com/spreadsheets/d/1lwD3A6F0_CU3I2E_oPvBnOzKHK_PmObSat5PPUT-Bc4/edit?gid=214811325#gid=214811325"", ""meal_cost!o1""))"),"#REF!")</f>
        <v>#REF!</v>
      </c>
      <c r="K3" s="49" t="str">
        <f>IFERROR(__xludf.DUMMYFUNCTION("SUM(ARRAYFORMULA(SUM(VALUE(SPLIT(IF(E3&lt;&gt;"""", E3, ""0""), ""+""))))- G3 - H3 - I3- J3)"),"#REF!")</f>
        <v>#REF!</v>
      </c>
      <c r="L3" s="11"/>
      <c r="M3" s="11"/>
      <c r="N3" s="11" t="str">
        <f t="shared" ref="N3:N16" si="1">IF(D3 &lt; 3000, A3 &amp; " " &amp; B3 &amp; " | diyesen: " &amp; D3 &amp; " | deoa baki: " &amp; (3000 - D3) &amp; " | Balance: " &amp; ROUND(K3, 0), "")</f>
        <v/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5" t="str">
        <f>IFERROR(__xludf.DUMMYFUNCTION("""COMPUTED_VALUE"""),"Tanvir")</f>
        <v>Tanvir</v>
      </c>
      <c r="B4" s="45">
        <f>IFERROR(__xludf.DUMMYFUNCTION("""COMPUTED_VALUE"""),202.0)</f>
        <v>202</v>
      </c>
      <c r="C4" s="46">
        <f>IFERROR(__xludf.DUMMYFUNCTION("""COMPUTED_VALUE"""),71.0)</f>
        <v>71</v>
      </c>
      <c r="D4" s="34">
        <f>IFERROR(__xludf.DUMMYFUNCTION("IF(E4&lt;&gt;"""", SUM(ArrayFormula(VALUE(SPLIT(E4, ""+"")))), 0)"),3000.0)</f>
        <v>3000</v>
      </c>
      <c r="E4" s="34" t="str">
        <f>IFERROR(__xludf.DUMMYFUNCTION("""COMPUTED_VALUE"""),"1000+1000+500+500")</f>
        <v>1000+1000+500+500</v>
      </c>
      <c r="F4" s="47" t="str">
        <f>IFERROR(__xludf.DUMMYFUNCTION("""COMPUTED_VALUE"""),"4Feb+9Feb+18Feb+23Feb")</f>
        <v>4Feb+9Feb+18Feb+23Feb</v>
      </c>
      <c r="G4" s="32">
        <v>330.0</v>
      </c>
      <c r="H4" s="30">
        <v>25.0</v>
      </c>
      <c r="I4" s="32">
        <v>30.0</v>
      </c>
      <c r="J4" s="48" t="str">
        <f>IFERROR(__xludf.DUMMYFUNCTION("SUM(C4*IMPORTRANGE(""https://docs.google.com/spreadsheets/d/1lwD3A6F0_CU3I2E_oPvBnOzKHK_PmObSat5PPUT-Bc4/edit?gid=214811325#gid=214811325"", ""meal_cost!o1""))"),"#REF!")</f>
        <v>#REF!</v>
      </c>
      <c r="K4" s="49" t="str">
        <f>IFERROR(__xludf.DUMMYFUNCTION("SUM(ARRAYFORMULA(SUM(VALUE(SPLIT(IF(E4&lt;&gt;"""", E4, ""0""), ""+""))))- G4 - H4 - I4- J4)"),"#REF!")</f>
        <v>#REF!</v>
      </c>
      <c r="L4" s="32"/>
      <c r="M4" s="11"/>
      <c r="N4" s="11" t="str">
        <f t="shared" si="1"/>
        <v/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45" t="str">
        <f>IFERROR(__xludf.DUMMYFUNCTION("""COMPUTED_VALUE"""),"Mugdho")</f>
        <v>Mugdho</v>
      </c>
      <c r="B5" s="45">
        <f>IFERROR(__xludf.DUMMYFUNCTION("""COMPUTED_VALUE"""),202.0)</f>
        <v>202</v>
      </c>
      <c r="C5" s="46">
        <f>IFERROR(__xludf.DUMMYFUNCTION("""COMPUTED_VALUE"""),63.5)</f>
        <v>63.5</v>
      </c>
      <c r="D5" s="34">
        <f>IFERROR(__xludf.DUMMYFUNCTION("IF(E5&lt;&gt;"""", SUM(ArrayFormula(VALUE(SPLIT(E5, ""+"")))), 0)"),3000.0)</f>
        <v>3000</v>
      </c>
      <c r="E5" s="34" t="str">
        <f>IFERROR(__xludf.DUMMYFUNCTION("""COMPUTED_VALUE"""),"1000+1000+500+500")</f>
        <v>1000+1000+500+500</v>
      </c>
      <c r="F5" s="47" t="str">
        <f>IFERROR(__xludf.DUMMYFUNCTION("""COMPUTED_VALUE"""),"4Feb+10Feb+18Feb+23Feb")</f>
        <v>4Feb+10Feb+18Feb+23Feb</v>
      </c>
      <c r="G5" s="32">
        <v>330.0</v>
      </c>
      <c r="H5" s="30">
        <v>50.0</v>
      </c>
      <c r="I5" s="32">
        <v>30.0</v>
      </c>
      <c r="J5" s="48" t="str">
        <f>IFERROR(__xludf.DUMMYFUNCTION("SUM(C5*IMPORTRANGE(""https://docs.google.com/spreadsheets/d/1lwD3A6F0_CU3I2E_oPvBnOzKHK_PmObSat5PPUT-Bc4/edit?gid=214811325#gid=214811325"", ""meal_cost!o1""))"),"#REF!")</f>
        <v>#REF!</v>
      </c>
      <c r="K5" s="49" t="str">
        <f>IFERROR(__xludf.DUMMYFUNCTION("SUM(ARRAYFORMULA(SUM(VALUE(SPLIT(IF(E5&lt;&gt;"""", E5, ""0""), ""+""))))- G5 - H5 - I5- J5)"),"#REF!")</f>
        <v>#REF!</v>
      </c>
      <c r="L5" s="11"/>
      <c r="M5" s="11"/>
      <c r="N5" s="11" t="str">
        <f t="shared" si="1"/>
        <v/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45" t="str">
        <f>IFERROR(__xludf.DUMMYFUNCTION("""COMPUTED_VALUE"""),"Nahid")</f>
        <v>Nahid</v>
      </c>
      <c r="B6" s="45">
        <f>IFERROR(__xludf.DUMMYFUNCTION("""COMPUTED_VALUE"""),203.0)</f>
        <v>203</v>
      </c>
      <c r="C6" s="46">
        <f>IFERROR(__xludf.DUMMYFUNCTION("""COMPUTED_VALUE"""),71.5)</f>
        <v>71.5</v>
      </c>
      <c r="D6" s="34">
        <f>IFERROR(__xludf.DUMMYFUNCTION("IF(E6&lt;&gt;"""", SUM(ArrayFormula(VALUE(SPLIT(E6, ""+"")))), 0)"),3000.0)</f>
        <v>3000</v>
      </c>
      <c r="E6" s="34" t="str">
        <f>IFERROR(__xludf.DUMMYFUNCTION("""COMPUTED_VALUE"""),"500+2500")</f>
        <v>500+2500</v>
      </c>
      <c r="F6" s="47" t="str">
        <f>IFERROR(__xludf.DUMMYFUNCTION("""COMPUTED_VALUE"""),"4Feb")</f>
        <v>4Feb</v>
      </c>
      <c r="G6" s="32">
        <v>330.0</v>
      </c>
      <c r="H6" s="30">
        <v>25.0</v>
      </c>
      <c r="I6" s="32">
        <v>30.0</v>
      </c>
      <c r="J6" s="48" t="str">
        <f>IFERROR(__xludf.DUMMYFUNCTION("SUM(C6*IMPORTRANGE(""https://docs.google.com/spreadsheets/d/1lwD3A6F0_CU3I2E_oPvBnOzKHK_PmObSat5PPUT-Bc4/edit?gid=214811325#gid=214811325"", ""meal_cost!o1""))"),"#REF!")</f>
        <v>#REF!</v>
      </c>
      <c r="K6" s="49" t="str">
        <f>IFERROR(__xludf.DUMMYFUNCTION("SUM(ARRAYFORMULA(SUM(VALUE(SPLIT(IF(E6&lt;&gt;"""", E6, ""0""), ""+""))))- G6 - H6 - I6- J6)"),"#REF!")</f>
        <v>#REF!</v>
      </c>
      <c r="L6" s="32"/>
      <c r="M6" s="11"/>
      <c r="N6" s="11" t="str">
        <f t="shared" si="1"/>
        <v/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45" t="str">
        <f>IFERROR(__xludf.DUMMYFUNCTION("""COMPUTED_VALUE"""),"Maksudur")</f>
        <v>Maksudur</v>
      </c>
      <c r="B7" s="45">
        <f>IFERROR(__xludf.DUMMYFUNCTION("""COMPUTED_VALUE"""),203.0)</f>
        <v>203</v>
      </c>
      <c r="C7" s="46">
        <f>IFERROR(__xludf.DUMMYFUNCTION("""COMPUTED_VALUE"""),74.0)</f>
        <v>74</v>
      </c>
      <c r="D7" s="34">
        <f>IFERROR(__xludf.DUMMYFUNCTION("IF(E7&lt;&gt;"""", SUM(ArrayFormula(VALUE(SPLIT(E7, ""+"")))), 0)"),3280.0)</f>
        <v>3280</v>
      </c>
      <c r="E7" s="34" t="str">
        <f>IFERROR(__xludf.DUMMYFUNCTION("""COMPUTED_VALUE"""),"2000+1000+280")</f>
        <v>2000+1000+280</v>
      </c>
      <c r="F7" s="47" t="str">
        <f>IFERROR(__xludf.DUMMYFUNCTION("""COMPUTED_VALUE"""),"4Feb+9Feb")</f>
        <v>4Feb+9Feb</v>
      </c>
      <c r="G7" s="32">
        <v>330.0</v>
      </c>
      <c r="H7" s="30">
        <v>25.0</v>
      </c>
      <c r="I7" s="32">
        <v>30.0</v>
      </c>
      <c r="J7" s="48" t="str">
        <f>IFERROR(__xludf.DUMMYFUNCTION("SUM(C7*IMPORTRANGE(""https://docs.google.com/spreadsheets/d/1lwD3A6F0_CU3I2E_oPvBnOzKHK_PmObSat5PPUT-Bc4/edit?gid=214811325#gid=214811325"", ""meal_cost!o1""))"),"#REF!")</f>
        <v>#REF!</v>
      </c>
      <c r="K7" s="49" t="str">
        <f>IFERROR(__xludf.DUMMYFUNCTION("SUM(ARRAYFORMULA(SUM(VALUE(SPLIT(IF(E7&lt;&gt;"""", E7, ""0""), ""+""))))- G7 - H7 - I7- J7)"),"#REF!")</f>
        <v>#REF!</v>
      </c>
      <c r="L7" s="11"/>
      <c r="M7" s="11"/>
      <c r="N7" s="11" t="str">
        <f t="shared" si="1"/>
        <v/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50" t="str">
        <f>IFERROR(__xludf.DUMMYFUNCTION("""COMPUTED_VALUE"""),"Imran")</f>
        <v>Imran</v>
      </c>
      <c r="B8" s="45">
        <f>IFERROR(__xludf.DUMMYFUNCTION("""COMPUTED_VALUE"""),206.0)</f>
        <v>206</v>
      </c>
      <c r="C8" s="46">
        <f>IFERROR(__xludf.DUMMYFUNCTION("""COMPUTED_VALUE"""),62.5)</f>
        <v>62.5</v>
      </c>
      <c r="D8" s="34">
        <f>IFERROR(__xludf.DUMMYFUNCTION("IF(E8&lt;&gt;"""", SUM(ArrayFormula(VALUE(SPLIT(E8, ""+"")))), 0)"),2700.0)</f>
        <v>2700</v>
      </c>
      <c r="E8" s="34" t="str">
        <f>IFERROR(__xludf.DUMMYFUNCTION("""COMPUTED_VALUE"""),"2500+200")</f>
        <v>2500+200</v>
      </c>
      <c r="F8" s="47" t="str">
        <f>IFERROR(__xludf.DUMMYFUNCTION("""COMPUTED_VALUE"""),"4Feb+23")</f>
        <v>4Feb+23</v>
      </c>
      <c r="G8" s="32">
        <v>330.0</v>
      </c>
      <c r="H8" s="30">
        <v>25.0</v>
      </c>
      <c r="I8" s="32">
        <v>30.0</v>
      </c>
      <c r="J8" s="48" t="str">
        <f>IFERROR(__xludf.DUMMYFUNCTION("SUM(C8*IMPORTRANGE(""https://docs.google.com/spreadsheets/d/1lwD3A6F0_CU3I2E_oPvBnOzKHK_PmObSat5PPUT-Bc4/edit?gid=214811325#gid=214811325"", ""meal_cost!o1""))"),"#REF!")</f>
        <v>#REF!</v>
      </c>
      <c r="K8" s="49" t="str">
        <f>IFERROR(__xludf.DUMMYFUNCTION("SUM(ARRAYFORMULA(SUM(VALUE(SPLIT(IF(E8&lt;&gt;"""", E8, ""0""), ""+""))))- G8 - H8 - I8- J8)"),"#REF!")</f>
        <v>#REF!</v>
      </c>
      <c r="L8" s="11"/>
      <c r="M8" s="11"/>
      <c r="N8" s="11" t="str">
        <f t="shared" si="1"/>
        <v>#REF!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45" t="str">
        <f>IFERROR(__xludf.DUMMYFUNCTION("""COMPUTED_VALUE"""),"Arefin")</f>
        <v>Arefin</v>
      </c>
      <c r="B9" s="45">
        <f>IFERROR(__xludf.DUMMYFUNCTION("""COMPUTED_VALUE"""),206.0)</f>
        <v>206</v>
      </c>
      <c r="C9" s="46">
        <f>IFERROR(__xludf.DUMMYFUNCTION("""COMPUTED_VALUE"""),70.0)</f>
        <v>70</v>
      </c>
      <c r="D9" s="34">
        <f>IFERROR(__xludf.DUMMYFUNCTION("IF(E9&lt;&gt;"""", SUM(ArrayFormula(VALUE(SPLIT(E9, ""+"")))), 0)"),3500.0)</f>
        <v>3500</v>
      </c>
      <c r="E9" s="34" t="str">
        <f>IFERROR(__xludf.DUMMYFUNCTION("""COMPUTED_VALUE"""),"3000+500")</f>
        <v>3000+500</v>
      </c>
      <c r="F9" s="47" t="str">
        <f>IFERROR(__xludf.DUMMYFUNCTION("""COMPUTED_VALUE"""),"5Feb+24")</f>
        <v>5Feb+24</v>
      </c>
      <c r="G9" s="32">
        <v>330.0</v>
      </c>
      <c r="H9" s="30">
        <v>25.0</v>
      </c>
      <c r="I9" s="32">
        <v>30.0</v>
      </c>
      <c r="J9" s="48" t="str">
        <f>IFERROR(__xludf.DUMMYFUNCTION("SUM(C9*IMPORTRANGE(""https://docs.google.com/spreadsheets/d/1lwD3A6F0_CU3I2E_oPvBnOzKHK_PmObSat5PPUT-Bc4/edit?gid=214811325#gid=214811325"", ""meal_cost!o1""))"),"#REF!")</f>
        <v>#REF!</v>
      </c>
      <c r="K9" s="49" t="str">
        <f>IFERROR(__xludf.DUMMYFUNCTION("SUM(ARRAYFORMULA(SUM(VALUE(SPLIT(IF(E9&lt;&gt;"""", E9, ""0""), ""+""))))- G9 - H9 - I9- J9)"),"#REF!")</f>
        <v>#REF!</v>
      </c>
      <c r="L9" s="11"/>
      <c r="M9" s="11"/>
      <c r="N9" s="11" t="str">
        <f t="shared" si="1"/>
        <v/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45" t="str">
        <f>IFERROR(__xludf.DUMMYFUNCTION("""COMPUTED_VALUE"""),"Jitu")</f>
        <v>Jitu</v>
      </c>
      <c r="B10" s="45">
        <f>IFERROR(__xludf.DUMMYFUNCTION("""COMPUTED_VALUE"""),206.0)</f>
        <v>206</v>
      </c>
      <c r="C10" s="46">
        <f>IFERROR(__xludf.DUMMYFUNCTION("""COMPUTED_VALUE"""),34.5)</f>
        <v>34.5</v>
      </c>
      <c r="D10" s="34">
        <f>IFERROR(__xludf.DUMMYFUNCTION("IF(E10&lt;&gt;"""", SUM(ArrayFormula(VALUE(SPLIT(E10, ""+"")))), 0)"),2000.0)</f>
        <v>2000</v>
      </c>
      <c r="E10" s="34">
        <f>IFERROR(__xludf.DUMMYFUNCTION("""COMPUTED_VALUE"""),2000.0)</f>
        <v>2000</v>
      </c>
      <c r="F10" s="47" t="str">
        <f>IFERROR(__xludf.DUMMYFUNCTION("""COMPUTED_VALUE"""),"4Feb")</f>
        <v>4Feb</v>
      </c>
      <c r="G10" s="32">
        <v>330.0</v>
      </c>
      <c r="H10" s="30">
        <v>25.0</v>
      </c>
      <c r="I10" s="32">
        <v>30.0</v>
      </c>
      <c r="J10" s="48" t="str">
        <f>IFERROR(__xludf.DUMMYFUNCTION("SUM(C10*IMPORTRANGE(""https://docs.google.com/spreadsheets/d/1lwD3A6F0_CU3I2E_oPvBnOzKHK_PmObSat5PPUT-Bc4/edit?gid=214811325#gid=214811325"", ""meal_cost!o1""))"),"#REF!")</f>
        <v>#REF!</v>
      </c>
      <c r="K10" s="49" t="str">
        <f>IFERROR(__xludf.DUMMYFUNCTION("SUM(ARRAYFORMULA(SUM(VALUE(SPLIT(IF(E10&lt;&gt;"""", E10, ""0""), ""+""))))- G10 - H10 - I10- J10)"),"#REF!")</f>
        <v>#REF!</v>
      </c>
      <c r="L10" s="11"/>
      <c r="M10" s="11"/>
      <c r="N10" s="11" t="str">
        <f t="shared" si="1"/>
        <v>#REF!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45" t="str">
        <f>IFERROR(__xludf.DUMMYFUNCTION("""COMPUTED_VALUE"""),"Imon")</f>
        <v>Imon</v>
      </c>
      <c r="B11" s="45">
        <f>IFERROR(__xludf.DUMMYFUNCTION("""COMPUTED_VALUE"""),207.0)</f>
        <v>207</v>
      </c>
      <c r="C11" s="46">
        <f>IFERROR(__xludf.DUMMYFUNCTION("""COMPUTED_VALUE"""),53.0)</f>
        <v>53</v>
      </c>
      <c r="D11" s="34">
        <f>IFERROR(__xludf.DUMMYFUNCTION("IF(E11&lt;&gt;"""", SUM(ArrayFormula(VALUE(SPLIT(E11, ""+"")))), 0)"),2900.0)</f>
        <v>2900</v>
      </c>
      <c r="E11" s="34">
        <f>IFERROR(__xludf.DUMMYFUNCTION("""COMPUTED_VALUE"""),2900.0)</f>
        <v>2900</v>
      </c>
      <c r="F11" s="47" t="str">
        <f>IFERROR(__xludf.DUMMYFUNCTION("""COMPUTED_VALUE"""),"4Feb-25")</f>
        <v>4Feb-25</v>
      </c>
      <c r="G11" s="32">
        <v>330.0</v>
      </c>
      <c r="H11" s="30">
        <v>25.0</v>
      </c>
      <c r="I11" s="32">
        <v>30.0</v>
      </c>
      <c r="J11" s="48" t="str">
        <f>IFERROR(__xludf.DUMMYFUNCTION("SUM(C11*IMPORTRANGE(""https://docs.google.com/spreadsheets/d/1lwD3A6F0_CU3I2E_oPvBnOzKHK_PmObSat5PPUT-Bc4/edit?gid=214811325#gid=214811325"", ""meal_cost!o1""))"),"#REF!")</f>
        <v>#REF!</v>
      </c>
      <c r="K11" s="49" t="str">
        <f>IFERROR(__xludf.DUMMYFUNCTION("SUM(ARRAYFORMULA(SUM(VALUE(SPLIT(IF(E11&lt;&gt;"""", E11, ""0""), ""+""))))- G11 - H11 - I11- J11)"),"#REF!")</f>
        <v>#REF!</v>
      </c>
      <c r="L11" s="11"/>
      <c r="M11" s="11"/>
      <c r="N11" s="11" t="str">
        <f t="shared" si="1"/>
        <v>#REF!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45" t="str">
        <f>IFERROR(__xludf.DUMMYFUNCTION("""COMPUTED_VALUE"""),"Jahid")</f>
        <v>Jahid</v>
      </c>
      <c r="B12" s="45">
        <f>IFERROR(__xludf.DUMMYFUNCTION("""COMPUTED_VALUE"""),207.0)</f>
        <v>207</v>
      </c>
      <c r="C12" s="46">
        <f>IFERROR(__xludf.DUMMYFUNCTION("""COMPUTED_VALUE"""),60.5)</f>
        <v>60.5</v>
      </c>
      <c r="D12" s="34">
        <f>IFERROR(__xludf.DUMMYFUNCTION("IF(E12&lt;&gt;"""", SUM(ArrayFormula(VALUE(SPLIT(E12, ""+"")))), 0)"),3000.0)</f>
        <v>3000</v>
      </c>
      <c r="E12" s="34" t="str">
        <f>IFERROR(__xludf.DUMMYFUNCTION("""COMPUTED_VALUE"""),"2000+1000")</f>
        <v>2000+1000</v>
      </c>
      <c r="F12" s="47" t="str">
        <f>IFERROR(__xludf.DUMMYFUNCTION("""COMPUTED_VALUE"""),"4Feb+17Feb")</f>
        <v>4Feb+17Feb</v>
      </c>
      <c r="G12" s="32">
        <v>330.0</v>
      </c>
      <c r="H12" s="30">
        <v>25.0</v>
      </c>
      <c r="I12" s="32">
        <v>30.0</v>
      </c>
      <c r="J12" s="48" t="str">
        <f>IFERROR(__xludf.DUMMYFUNCTION("SUM(C12*IMPORTRANGE(""https://docs.google.com/spreadsheets/d/1lwD3A6F0_CU3I2E_oPvBnOzKHK_PmObSat5PPUT-Bc4/edit?gid=214811325#gid=214811325"", ""meal_cost!o1""))"),"#REF!")</f>
        <v>#REF!</v>
      </c>
      <c r="K12" s="49" t="str">
        <f>IFERROR(__xludf.DUMMYFUNCTION("SUM(ARRAYFORMULA(SUM(VALUE(SPLIT(IF(E12&lt;&gt;"""", E12, ""0""), ""+""))))- G12 - H12 - I12- J12)"),"#REF!")</f>
        <v>#REF!</v>
      </c>
      <c r="L12" s="11"/>
      <c r="M12" s="11"/>
      <c r="N12" s="11" t="str">
        <f t="shared" si="1"/>
        <v/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45" t="str">
        <f>IFERROR(__xludf.DUMMYFUNCTION("""COMPUTED_VALUE"""),"Naha")</f>
        <v>Naha</v>
      </c>
      <c r="B13" s="45">
        <f>IFERROR(__xludf.DUMMYFUNCTION("""COMPUTED_VALUE"""),207.0)</f>
        <v>207</v>
      </c>
      <c r="C13" s="46">
        <f>IFERROR(__xludf.DUMMYFUNCTION("""COMPUTED_VALUE"""),32.5)</f>
        <v>32.5</v>
      </c>
      <c r="D13" s="34">
        <f>IFERROR(__xludf.DUMMYFUNCTION("IF(E13&lt;&gt;"""", SUM(ArrayFormula(VALUE(SPLIT(E13, ""+"")))), 0)"),1900.0)</f>
        <v>1900</v>
      </c>
      <c r="E13" s="34">
        <f>IFERROR(__xludf.DUMMYFUNCTION("""COMPUTED_VALUE"""),1900.0)</f>
        <v>1900</v>
      </c>
      <c r="F13" s="47" t="str">
        <f>IFERROR(__xludf.DUMMYFUNCTION("""COMPUTED_VALUE"""),"8 Feb-25")</f>
        <v>8 Feb-25</v>
      </c>
      <c r="G13" s="32">
        <v>330.0</v>
      </c>
      <c r="H13" s="30">
        <v>25.0</v>
      </c>
      <c r="I13" s="32">
        <v>30.0</v>
      </c>
      <c r="J13" s="48" t="str">
        <f>IFERROR(__xludf.DUMMYFUNCTION("SUM(C13*IMPORTRANGE(""https://docs.google.com/spreadsheets/d/1lwD3A6F0_CU3I2E_oPvBnOzKHK_PmObSat5PPUT-Bc4/edit?gid=214811325#gid=214811325"", ""meal_cost!o1""))"),"#REF!")</f>
        <v>#REF!</v>
      </c>
      <c r="K13" s="49" t="str">
        <f>IFERROR(__xludf.DUMMYFUNCTION("SUM(ARRAYFORMULA(SUM(VALUE(SPLIT(IF(E13&lt;&gt;"""", E13, ""0""), ""+""))))- G13 - H13 - I13- J13)"),"#REF!")</f>
        <v>#REF!</v>
      </c>
      <c r="L13" s="11"/>
      <c r="M13" s="11"/>
      <c r="N13" s="11" t="str">
        <f t="shared" si="1"/>
        <v>#REF!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50" t="str">
        <f>IFERROR(__xludf.DUMMYFUNCTION("""COMPUTED_VALUE"""),"Lokman")</f>
        <v>Lokman</v>
      </c>
      <c r="B14" s="45">
        <f>IFERROR(__xludf.DUMMYFUNCTION("""COMPUTED_VALUE"""),208.0)</f>
        <v>208</v>
      </c>
      <c r="C14" s="46">
        <f>IFERROR(__xludf.DUMMYFUNCTION("""COMPUTED_VALUE"""),66.0)</f>
        <v>66</v>
      </c>
      <c r="D14" s="34">
        <f>IFERROR(__xludf.DUMMYFUNCTION("IF(E14&lt;&gt;"""", SUM(ArrayFormula(VALUE(SPLIT(E14, ""+"")))), 0)"),2000.0)</f>
        <v>2000</v>
      </c>
      <c r="E14" s="34" t="str">
        <f>IFERROR(__xludf.DUMMYFUNCTION("""COMPUTED_VALUE"""),"1500+500")</f>
        <v>1500+500</v>
      </c>
      <c r="F14" s="47" t="str">
        <f>IFERROR(__xludf.DUMMYFUNCTION("""COMPUTED_VALUE"""),"4Feb+17Feb")</f>
        <v>4Feb+17Feb</v>
      </c>
      <c r="G14" s="32">
        <v>330.0</v>
      </c>
      <c r="H14" s="30">
        <v>25.0</v>
      </c>
      <c r="I14" s="32">
        <v>30.0</v>
      </c>
      <c r="J14" s="48" t="str">
        <f>IFERROR(__xludf.DUMMYFUNCTION("SUM(C14*IMPORTRANGE(""https://docs.google.com/spreadsheets/d/1lwD3A6F0_CU3I2E_oPvBnOzKHK_PmObSat5PPUT-Bc4/edit?gid=214811325#gid=214811325"", ""meal_cost!o1""))"),"#REF!")</f>
        <v>#REF!</v>
      </c>
      <c r="K14" s="49" t="str">
        <f>IFERROR(__xludf.DUMMYFUNCTION("SUM(ARRAYFORMULA(SUM(VALUE(SPLIT(IF(E14&lt;&gt;"""", E14, ""0""), ""+""))))- G14 - H14 - I14- J14)"),"#REF!")</f>
        <v>#REF!</v>
      </c>
      <c r="L14" s="11"/>
      <c r="M14" s="11"/>
      <c r="N14" s="11" t="str">
        <f t="shared" si="1"/>
        <v>#REF!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51" t="str">
        <f>IFERROR(__xludf.DUMMYFUNCTION("""COMPUTED_VALUE"""),"Munna")</f>
        <v>Munna</v>
      </c>
      <c r="B15" s="51">
        <f>IFERROR(__xludf.DUMMYFUNCTION("""COMPUTED_VALUE"""),301.0)</f>
        <v>301</v>
      </c>
      <c r="C15" s="52">
        <f>IFERROR(__xludf.DUMMYFUNCTION("""COMPUTED_VALUE"""),35.5)</f>
        <v>35.5</v>
      </c>
      <c r="D15" s="34">
        <f>IFERROR(__xludf.DUMMYFUNCTION("IF(E15&lt;&gt;"""", SUM(ArrayFormula(VALUE(SPLIT(E15, ""+"")))), 0)"),3100.0)</f>
        <v>3100</v>
      </c>
      <c r="E15" s="53" t="str">
        <f>IFERROR(__xludf.DUMMYFUNCTION("""COMPUTED_VALUE"""),"500+600+2000")</f>
        <v>500+600+2000</v>
      </c>
      <c r="F15" s="54" t="str">
        <f>IFERROR(__xludf.DUMMYFUNCTION("""COMPUTED_VALUE"""),"4Feb+17Feb+23")</f>
        <v>4Feb+17Feb+23</v>
      </c>
      <c r="G15" s="32">
        <v>330.0</v>
      </c>
      <c r="H15" s="30">
        <v>25.0</v>
      </c>
      <c r="I15" s="32">
        <v>30.0</v>
      </c>
      <c r="J15" s="48" t="str">
        <f>IFERROR(__xludf.DUMMYFUNCTION("SUM(C15*IMPORTRANGE(""https://docs.google.com/spreadsheets/d/1lwD3A6F0_CU3I2E_oPvBnOzKHK_PmObSat5PPUT-Bc4/edit?gid=214811325#gid=214811325"", ""meal_cost!o1""))"),"#REF!")</f>
        <v>#REF!</v>
      </c>
      <c r="K15" s="49" t="str">
        <f>IFERROR(__xludf.DUMMYFUNCTION("SUM(ARRAYFORMULA(SUM(VALUE(SPLIT(IF(E15&lt;&gt;"""", E15, ""0""), ""+""))))- G15 - H15 - I15- J15)"),"#REF!")</f>
        <v>#REF!</v>
      </c>
      <c r="L15" s="11"/>
      <c r="M15" s="11"/>
      <c r="N15" s="11" t="str">
        <f t="shared" si="1"/>
        <v/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45" t="str">
        <f>IFERROR(__xludf.DUMMYFUNCTION("""COMPUTED_VALUE"""),"Nahid Hasan")</f>
        <v>Nahid Hasan</v>
      </c>
      <c r="B16" s="45">
        <f>IFERROR(__xludf.DUMMYFUNCTION("""COMPUTED_VALUE"""),302.0)</f>
        <v>302</v>
      </c>
      <c r="C16" s="46">
        <f>IFERROR(__xludf.DUMMYFUNCTION("""COMPUTED_VALUE"""),62.5)</f>
        <v>62.5</v>
      </c>
      <c r="D16" s="34">
        <f>IFERROR(__xludf.DUMMYFUNCTION("IF(E16&lt;&gt;"""", SUM(ArrayFormula(VALUE(SPLIT(E16, ""+"")))), 0)"),2850.0)</f>
        <v>2850</v>
      </c>
      <c r="E16" s="34" t="str">
        <f>IFERROR(__xludf.DUMMYFUNCTION("""COMPUTED_VALUE"""),"1500+1200+150")</f>
        <v>1500+1200+150</v>
      </c>
      <c r="F16" s="47" t="str">
        <f>IFERROR(__xludf.DUMMYFUNCTION("""COMPUTED_VALUE"""),"4Feb+14Feb")</f>
        <v>4Feb+14Feb</v>
      </c>
      <c r="G16" s="32">
        <v>330.0</v>
      </c>
      <c r="H16" s="30">
        <v>25.0</v>
      </c>
      <c r="I16" s="32">
        <v>30.0</v>
      </c>
      <c r="J16" s="48" t="str">
        <f>IFERROR(__xludf.DUMMYFUNCTION("SUM(C16*IMPORTRANGE(""https://docs.google.com/spreadsheets/d/1lwD3A6F0_CU3I2E_oPvBnOzKHK_PmObSat5PPUT-Bc4/edit?gid=214811325#gid=214811325"", ""meal_cost!o1""))"),"#REF!")</f>
        <v>#REF!</v>
      </c>
      <c r="K16" s="49" t="str">
        <f>IFERROR(__xludf.DUMMYFUNCTION("SUM(ARRAYFORMULA(SUM(VALUE(SPLIT(IF(E16&lt;&gt;"""", E16, ""0""), ""+""))))- G16 - H16 - I16- J16-L16)"),"#REF!")</f>
        <v>#REF!</v>
      </c>
      <c r="L16" s="32">
        <v>20.0</v>
      </c>
      <c r="M16" s="11"/>
      <c r="N16" s="11" t="str">
        <f t="shared" si="1"/>
        <v>#REF!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45" t="str">
        <f>IFERROR(__xludf.DUMMYFUNCTION("""COMPUTED_VALUE"""),"Noman")</f>
        <v>Noman</v>
      </c>
      <c r="B17" s="45">
        <f>IFERROR(__xludf.DUMMYFUNCTION("""COMPUTED_VALUE"""),302.0)</f>
        <v>302</v>
      </c>
      <c r="C17" s="46">
        <f>IFERROR(__xludf.DUMMYFUNCTION("""COMPUTED_VALUE"""),29.0)</f>
        <v>29</v>
      </c>
      <c r="D17" s="34">
        <f>IFERROR(__xludf.DUMMYFUNCTION("IF(E17&lt;&gt;"""", SUM(ArrayFormula(VALUE(SPLIT(E17, ""+"")))), 0)"),1500.0)</f>
        <v>1500</v>
      </c>
      <c r="E17" s="34">
        <f>IFERROR(__xludf.DUMMYFUNCTION("""COMPUTED_VALUE"""),1500.0)</f>
        <v>1500</v>
      </c>
      <c r="F17" s="47" t="str">
        <f>IFERROR(__xludf.DUMMYFUNCTION("""COMPUTED_VALUE"""),"4Feb")</f>
        <v>4Feb</v>
      </c>
      <c r="G17" s="32">
        <v>330.0</v>
      </c>
      <c r="H17" s="30">
        <v>25.0</v>
      </c>
      <c r="I17" s="32">
        <v>30.0</v>
      </c>
      <c r="J17" s="48" t="str">
        <f>IFERROR(__xludf.DUMMYFUNCTION("SUM(C17*IMPORTRANGE(""https://docs.google.com/spreadsheets/d/1lwD3A6F0_CU3I2E_oPvBnOzKHK_PmObSat5PPUT-Bc4/edit?gid=214811325#gid=214811325"", ""meal_cost!o1""))"),"#REF!")</f>
        <v>#REF!</v>
      </c>
      <c r="K17" s="49" t="str">
        <f>IFERROR(__xludf.DUMMYFUNCTION("SUM(ARRAYFORMULA(SUM(VALUE(SPLIT(IF(E17&lt;&gt;"""", E17, ""0""), ""+""))))- G17 - H17 - I17- J17-L17)"),"#REF!")</f>
        <v>#REF!</v>
      </c>
      <c r="L17" s="32">
        <v>20.0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45" t="str">
        <f>IFERROR(__xludf.DUMMYFUNCTION("""COMPUTED_VALUE"""),"Arif")</f>
        <v>Arif</v>
      </c>
      <c r="B18" s="45">
        <f>IFERROR(__xludf.DUMMYFUNCTION("""COMPUTED_VALUE"""),302.0)</f>
        <v>302</v>
      </c>
      <c r="C18" s="46">
        <f>IFERROR(__xludf.DUMMYFUNCTION("""COMPUTED_VALUE"""),31.5)</f>
        <v>31.5</v>
      </c>
      <c r="D18" s="34">
        <f>IFERROR(__xludf.DUMMYFUNCTION("IF(E18&lt;&gt;"""", SUM(ArrayFormula(VALUE(SPLIT(E18, ""+"")))), 0)"),2000.0)</f>
        <v>2000</v>
      </c>
      <c r="E18" s="34" t="str">
        <f>IFERROR(__xludf.DUMMYFUNCTION("""COMPUTED_VALUE"""),"1000+1000")</f>
        <v>1000+1000</v>
      </c>
      <c r="F18" s="47" t="str">
        <f>IFERROR(__xludf.DUMMYFUNCTION("""COMPUTED_VALUE"""),"12Feb+19Feb")</f>
        <v>12Feb+19Feb</v>
      </c>
      <c r="G18" s="32">
        <v>330.0</v>
      </c>
      <c r="H18" s="30">
        <v>25.0</v>
      </c>
      <c r="I18" s="32">
        <v>30.0</v>
      </c>
      <c r="J18" s="48" t="str">
        <f>IFERROR(__xludf.DUMMYFUNCTION("SUM(C18*IMPORTRANGE(""https://docs.google.com/spreadsheets/d/1lwD3A6F0_CU3I2E_oPvBnOzKHK_PmObSat5PPUT-Bc4/edit?gid=214811325#gid=214811325"", ""meal_cost!o1""))"),"#REF!")</f>
        <v>#REF!</v>
      </c>
      <c r="K18" s="49" t="str">
        <f>IFERROR(__xludf.DUMMYFUNCTION("SUM(ARRAYFORMULA(SUM(VALUE(SPLIT(IF(E18&lt;&gt;"""", E18, ""0""), ""+""))))- G18 - H18 - I18- J18-L18)"),"#REF!")</f>
        <v>#REF!</v>
      </c>
      <c r="L18" s="32">
        <v>20.0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45" t="str">
        <f>IFERROR(__xludf.DUMMYFUNCTION("""COMPUTED_VALUE"""),"Maruf")</f>
        <v>Maruf</v>
      </c>
      <c r="B19" s="45">
        <f>IFERROR(__xludf.DUMMYFUNCTION("""COMPUTED_VALUE"""),305.0)</f>
        <v>305</v>
      </c>
      <c r="C19" s="46">
        <f>IFERROR(__xludf.DUMMYFUNCTION("""COMPUTED_VALUE"""),60.0)</f>
        <v>60</v>
      </c>
      <c r="D19" s="34">
        <f>IFERROR(__xludf.DUMMYFUNCTION("IF(E19&lt;&gt;"""", SUM(ArrayFormula(VALUE(SPLIT(E19, ""+"")))), 0)"),3000.0)</f>
        <v>3000</v>
      </c>
      <c r="E19" s="34" t="str">
        <f>IFERROR(__xludf.DUMMYFUNCTION("""COMPUTED_VALUE"""),"1000+2000")</f>
        <v>1000+2000</v>
      </c>
      <c r="F19" s="47" t="str">
        <f>IFERROR(__xludf.DUMMYFUNCTION("""COMPUTED_VALUE"""),"4Feb+10Feb")</f>
        <v>4Feb+10Feb</v>
      </c>
      <c r="G19" s="32">
        <v>330.0</v>
      </c>
      <c r="H19" s="30">
        <v>25.0</v>
      </c>
      <c r="I19" s="32">
        <v>30.0</v>
      </c>
      <c r="J19" s="48" t="str">
        <f>IFERROR(__xludf.DUMMYFUNCTION("SUM(C19*IMPORTRANGE(""https://docs.google.com/spreadsheets/d/1lwD3A6F0_CU3I2E_oPvBnOzKHK_PmObSat5PPUT-Bc4/edit?gid=214811325#gid=214811325"", ""meal_cost!o1""))"),"#REF!")</f>
        <v>#REF!</v>
      </c>
      <c r="K19" s="49" t="str">
        <f>IFERROR(__xludf.DUMMYFUNCTION("SUM(ARRAYFORMULA(SUM(VALUE(SPLIT(IF(E19&lt;&gt;"""", E19, ""0""), ""+""))))- G19 - H19 - I19- J19)"),"#REF!")</f>
        <v>#REF!</v>
      </c>
      <c r="L19" s="11"/>
      <c r="M19" s="11"/>
      <c r="N19" s="11" t="str">
        <f t="shared" ref="N19:N36" si="2">IF(D19 &lt; 3000, A19 &amp; " " &amp; B19 &amp; " | diyesen: " &amp; D19 &amp; " | deoa baki: " &amp; (3000 - D19) &amp; " | Balance: " &amp; ROUND(K19, 0), "")</f>
        <v/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45" t="str">
        <f>IFERROR(__xludf.DUMMYFUNCTION("""COMPUTED_VALUE"""),"Mahmud")</f>
        <v>Mahmud</v>
      </c>
      <c r="B20" s="45">
        <f>IFERROR(__xludf.DUMMYFUNCTION("""COMPUTED_VALUE"""),306.0)</f>
        <v>306</v>
      </c>
      <c r="C20" s="46">
        <f>IFERROR(__xludf.DUMMYFUNCTION("""COMPUTED_VALUE"""),49.0)</f>
        <v>49</v>
      </c>
      <c r="D20" s="34">
        <f>IFERROR(__xludf.DUMMYFUNCTION("IF(E20&lt;&gt;"""", SUM(ArrayFormula(VALUE(SPLIT(E20, ""+"")))), 0)"),2500.0)</f>
        <v>2500</v>
      </c>
      <c r="E20" s="34" t="str">
        <f>IFERROR(__xludf.DUMMYFUNCTION("""COMPUTED_VALUE"""),"1000+1000+500")</f>
        <v>1000+1000+500</v>
      </c>
      <c r="F20" s="47" t="str">
        <f>IFERROR(__xludf.DUMMYFUNCTION("""COMPUTED_VALUE"""),"4Feb+17Feb+23Feb")</f>
        <v>4Feb+17Feb+23Feb</v>
      </c>
      <c r="G20" s="32">
        <v>330.0</v>
      </c>
      <c r="H20" s="30">
        <v>25.0</v>
      </c>
      <c r="I20" s="32">
        <v>30.0</v>
      </c>
      <c r="J20" s="48" t="str">
        <f>IFERROR(__xludf.DUMMYFUNCTION("SUM(C20*IMPORTRANGE(""https://docs.google.com/spreadsheets/d/1lwD3A6F0_CU3I2E_oPvBnOzKHK_PmObSat5PPUT-Bc4/edit?gid=214811325#gid=214811325"", ""meal_cost!o1""))"),"#REF!")</f>
        <v>#REF!</v>
      </c>
      <c r="K20" s="49" t="str">
        <f>IFERROR(__xludf.DUMMYFUNCTION("SUM(ARRAYFORMULA(SUM(VALUE(SPLIT(IF(E20&lt;&gt;"""", E20, ""0""), ""+""))))- G20 - H20 - I20- J20)"),"#REF!")</f>
        <v>#REF!</v>
      </c>
      <c r="L20" s="11"/>
      <c r="M20" s="11"/>
      <c r="N20" s="11" t="str">
        <f t="shared" si="2"/>
        <v>#REF!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45" t="str">
        <f>IFERROR(__xludf.DUMMYFUNCTION("""COMPUTED_VALUE"""),"Saiful Islam")</f>
        <v>Saiful Islam</v>
      </c>
      <c r="B21" s="45">
        <f>IFERROR(__xludf.DUMMYFUNCTION("""COMPUTED_VALUE"""),306.0)</f>
        <v>306</v>
      </c>
      <c r="C21" s="46">
        <f>IFERROR(__xludf.DUMMYFUNCTION("""COMPUTED_VALUE"""),70.0)</f>
        <v>70</v>
      </c>
      <c r="D21" s="34">
        <f>IFERROR(__xludf.DUMMYFUNCTION("IF(E21&lt;&gt;"""", SUM(ArrayFormula(VALUE(SPLIT(E21, ""+"")))), 0)"),3500.0)</f>
        <v>3500</v>
      </c>
      <c r="E21" s="34" t="str">
        <f>IFERROR(__xludf.DUMMYFUNCTION("""COMPUTED_VALUE"""),"2000+1500")</f>
        <v>2000+1500</v>
      </c>
      <c r="F21" s="47" t="str">
        <f>IFERROR(__xludf.DUMMYFUNCTION("""COMPUTED_VALUE"""),"4Feb")</f>
        <v>4Feb</v>
      </c>
      <c r="G21" s="32">
        <v>330.0</v>
      </c>
      <c r="H21" s="30">
        <v>25.0</v>
      </c>
      <c r="I21" s="32">
        <v>30.0</v>
      </c>
      <c r="J21" s="48" t="str">
        <f>IFERROR(__xludf.DUMMYFUNCTION("SUM(C21*IMPORTRANGE(""https://docs.google.com/spreadsheets/d/1lwD3A6F0_CU3I2E_oPvBnOzKHK_PmObSat5PPUT-Bc4/edit?gid=214811325#gid=214811325"", ""meal_cost!o1""))"),"#REF!")</f>
        <v>#REF!</v>
      </c>
      <c r="K21" s="49" t="str">
        <f>IFERROR(__xludf.DUMMYFUNCTION("SUM(ARRAYFORMULA(SUM(VALUE(SPLIT(IF(E21&lt;&gt;"""", E21, ""0""), ""+""))))- G21 - H21 - I21- J21)"),"#REF!")</f>
        <v>#REF!</v>
      </c>
      <c r="L21" s="11"/>
      <c r="M21" s="11"/>
      <c r="N21" s="11" t="str">
        <f t="shared" si="2"/>
        <v/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45" t="str">
        <f>IFERROR(__xludf.DUMMYFUNCTION("""COMPUTED_VALUE"""),"Arman")</f>
        <v>Arman</v>
      </c>
      <c r="B22" s="45">
        <f>IFERROR(__xludf.DUMMYFUNCTION("""COMPUTED_VALUE"""),306.0)</f>
        <v>306</v>
      </c>
      <c r="C22" s="46">
        <f>IFERROR(__xludf.DUMMYFUNCTION("""COMPUTED_VALUE"""),56.5)</f>
        <v>56.5</v>
      </c>
      <c r="D22" s="34">
        <f>IFERROR(__xludf.DUMMYFUNCTION("IF(E22&lt;&gt;"""", SUM(ArrayFormula(VALUE(SPLIT(E22, ""+"")))), 0)"),3000.0)</f>
        <v>3000</v>
      </c>
      <c r="E22" s="34" t="str">
        <f>IFERROR(__xludf.DUMMYFUNCTION("""COMPUTED_VALUE"""),"2000+1000")</f>
        <v>2000+1000</v>
      </c>
      <c r="F22" s="47" t="str">
        <f>IFERROR(__xludf.DUMMYFUNCTION("""COMPUTED_VALUE"""),"4Feb+18Feb")</f>
        <v>4Feb+18Feb</v>
      </c>
      <c r="G22" s="32">
        <v>330.0</v>
      </c>
      <c r="H22" s="30">
        <v>25.0</v>
      </c>
      <c r="I22" s="32">
        <v>30.0</v>
      </c>
      <c r="J22" s="48" t="str">
        <f>IFERROR(__xludf.DUMMYFUNCTION("SUM(C22*IMPORTRANGE(""https://docs.google.com/spreadsheets/d/1lwD3A6F0_CU3I2E_oPvBnOzKHK_PmObSat5PPUT-Bc4/edit?gid=214811325#gid=214811325"", ""meal_cost!o1""))"),"#REF!")</f>
        <v>#REF!</v>
      </c>
      <c r="K22" s="49" t="str">
        <f>IFERROR(__xludf.DUMMYFUNCTION("SUM(ARRAYFORMULA(SUM(VALUE(SPLIT(IF(E22&lt;&gt;"""", E22, ""0""), ""+""))))- G22 - H22 - I22- J22)"),"#REF!")</f>
        <v>#REF!</v>
      </c>
      <c r="L22" s="11"/>
      <c r="M22" s="11"/>
      <c r="N22" s="11" t="str">
        <f t="shared" si="2"/>
        <v/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45" t="str">
        <f>IFERROR(__xludf.DUMMYFUNCTION("""COMPUTED_VALUE"""),"Sifat")</f>
        <v>Sifat</v>
      </c>
      <c r="B23" s="45">
        <f>IFERROR(__xludf.DUMMYFUNCTION("""COMPUTED_VALUE"""),307.0)</f>
        <v>307</v>
      </c>
      <c r="C23" s="46">
        <f>IFERROR(__xludf.DUMMYFUNCTION("""COMPUTED_VALUE"""),42.0)</f>
        <v>42</v>
      </c>
      <c r="D23" s="34">
        <f>IFERROR(__xludf.DUMMYFUNCTION("IF(E23&lt;&gt;"""", SUM(ArrayFormula(VALUE(SPLIT(E23, ""+"")))), 0)"),3400.0)</f>
        <v>3400</v>
      </c>
      <c r="E23" s="53" t="str">
        <f>IFERROR(__xludf.DUMMYFUNCTION("""COMPUTED_VALUE"""),"400+3000")</f>
        <v>400+3000</v>
      </c>
      <c r="F23" s="54" t="str">
        <f>IFERROR(__xludf.DUMMYFUNCTION("""COMPUTED_VALUE"""),"4Feb")</f>
        <v>4Feb</v>
      </c>
      <c r="G23" s="32">
        <v>330.0</v>
      </c>
      <c r="H23" s="30">
        <v>25.0</v>
      </c>
      <c r="I23" s="32">
        <v>30.0</v>
      </c>
      <c r="J23" s="48" t="str">
        <f>IFERROR(__xludf.DUMMYFUNCTION("SUM(C23*IMPORTRANGE(""https://docs.google.com/spreadsheets/d/1lwD3A6F0_CU3I2E_oPvBnOzKHK_PmObSat5PPUT-Bc4/edit?gid=214811325#gid=214811325"", ""meal_cost!o1""))"),"#REF!")</f>
        <v>#REF!</v>
      </c>
      <c r="K23" s="49" t="str">
        <f>IFERROR(__xludf.DUMMYFUNCTION("SUM(ARRAYFORMULA(SUM(VALUE(SPLIT(IF(E23&lt;&gt;"""", E23, ""0""), ""+""))))- G23 - H23 - I23- J23)"),"#REF!")</f>
        <v>#REF!</v>
      </c>
      <c r="L23" s="11"/>
      <c r="M23" s="11"/>
      <c r="N23" s="11" t="str">
        <f t="shared" si="2"/>
        <v/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45" t="str">
        <f>IFERROR(__xludf.DUMMYFUNCTION("""COMPUTED_VALUE"""),"Nuaisir")</f>
        <v>Nuaisir</v>
      </c>
      <c r="B24" s="45">
        <f>IFERROR(__xludf.DUMMYFUNCTION("""COMPUTED_VALUE"""),307.0)</f>
        <v>307</v>
      </c>
      <c r="C24" s="46">
        <f>IFERROR(__xludf.DUMMYFUNCTION("""COMPUTED_VALUE"""),50.5)</f>
        <v>50.5</v>
      </c>
      <c r="D24" s="34">
        <f>IFERROR(__xludf.DUMMYFUNCTION("IF(E24&lt;&gt;"""", SUM(ArrayFormula(VALUE(SPLIT(E24, ""+"")))), 0)"),2500.0)</f>
        <v>2500</v>
      </c>
      <c r="E24" s="34" t="str">
        <f>IFERROR(__xludf.DUMMYFUNCTION("""COMPUTED_VALUE"""),"2000+500")</f>
        <v>2000+500</v>
      </c>
      <c r="F24" s="47" t="str">
        <f>IFERROR(__xludf.DUMMYFUNCTION("""COMPUTED_VALUE"""),"4Feb+23")</f>
        <v>4Feb+23</v>
      </c>
      <c r="G24" s="32">
        <v>330.0</v>
      </c>
      <c r="H24" s="30">
        <v>25.0</v>
      </c>
      <c r="I24" s="32">
        <v>30.0</v>
      </c>
      <c r="J24" s="48" t="str">
        <f>IFERROR(__xludf.DUMMYFUNCTION("SUM(C24*IMPORTRANGE(""https://docs.google.com/spreadsheets/d/1lwD3A6F0_CU3I2E_oPvBnOzKHK_PmObSat5PPUT-Bc4/edit?gid=214811325#gid=214811325"", ""meal_cost!o1""))"),"#REF!")</f>
        <v>#REF!</v>
      </c>
      <c r="K24" s="49" t="str">
        <f>IFERROR(__xludf.DUMMYFUNCTION("SUM(ARRAYFORMULA(SUM(VALUE(SPLIT(IF(E24&lt;&gt;"""", E24, ""0""), ""+""))))- G24 - H24 - I24- J24)"),"#REF!")</f>
        <v>#REF!</v>
      </c>
      <c r="L24" s="11"/>
      <c r="M24" s="11"/>
      <c r="N24" s="11" t="str">
        <f t="shared" si="2"/>
        <v>#REF!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45" t="str">
        <f>IFERROR(__xludf.DUMMYFUNCTION("""COMPUTED_VALUE"""),"Suhad")</f>
        <v>Suhad</v>
      </c>
      <c r="B25" s="45">
        <f>IFERROR(__xludf.DUMMYFUNCTION("""COMPUTED_VALUE"""),308.0)</f>
        <v>308</v>
      </c>
      <c r="C25" s="46">
        <f>IFERROR(__xludf.DUMMYFUNCTION("""COMPUTED_VALUE"""),51.5)</f>
        <v>51.5</v>
      </c>
      <c r="D25" s="34">
        <f>IFERROR(__xludf.DUMMYFUNCTION("IF(E25&lt;&gt;"""", SUM(ArrayFormula(VALUE(SPLIT(E25, ""+"")))), 0)"),2500.0)</f>
        <v>2500</v>
      </c>
      <c r="E25" s="34" t="str">
        <f>IFERROR(__xludf.DUMMYFUNCTION("""COMPUTED_VALUE"""),"500+1200+800")</f>
        <v>500+1200+800</v>
      </c>
      <c r="F25" s="47" t="str">
        <f>IFERROR(__xludf.DUMMYFUNCTION("""COMPUTED_VALUE"""),"4Feb+16Feb")</f>
        <v>4Feb+16Feb</v>
      </c>
      <c r="G25" s="32">
        <v>330.0</v>
      </c>
      <c r="H25" s="30">
        <v>25.0</v>
      </c>
      <c r="I25" s="32">
        <v>30.0</v>
      </c>
      <c r="J25" s="48" t="str">
        <f>IFERROR(__xludf.DUMMYFUNCTION("SUM(C25*IMPORTRANGE(""https://docs.google.com/spreadsheets/d/1lwD3A6F0_CU3I2E_oPvBnOzKHK_PmObSat5PPUT-Bc4/edit?gid=214811325#gid=214811325"", ""meal_cost!o1""))"),"#REF!")</f>
        <v>#REF!</v>
      </c>
      <c r="K25" s="49" t="str">
        <f>IFERROR(__xludf.DUMMYFUNCTION("SUM(ARRAYFORMULA(SUM(VALUE(SPLIT(IF(E25&lt;&gt;"""", E25, ""0""), ""+""))))- G25 - H25 - I25- J25-L25)"),"#REF!")</f>
        <v>#REF!</v>
      </c>
      <c r="L25" s="32">
        <v>20.0</v>
      </c>
      <c r="M25" s="11"/>
      <c r="N25" s="11" t="str">
        <f t="shared" si="2"/>
        <v>#REF!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45" t="str">
        <f>IFERROR(__xludf.DUMMYFUNCTION("""COMPUTED_VALUE"""),"Jawad")</f>
        <v>Jawad</v>
      </c>
      <c r="B26" s="45">
        <f>IFERROR(__xludf.DUMMYFUNCTION("""COMPUTED_VALUE"""),401.0)</f>
        <v>401</v>
      </c>
      <c r="C26" s="46">
        <f>IFERROR(__xludf.DUMMYFUNCTION("""COMPUTED_VALUE"""),64.0)</f>
        <v>64</v>
      </c>
      <c r="D26" s="34">
        <f>IFERROR(__xludf.DUMMYFUNCTION("IF(E26&lt;&gt;"""", SUM(ArrayFormula(VALUE(SPLIT(E26, ""+"")))), 0)"),3000.0)</f>
        <v>3000</v>
      </c>
      <c r="E26" s="34" t="str">
        <f>IFERROR(__xludf.DUMMYFUNCTION("""COMPUTED_VALUE"""),"1000+1000+1000")</f>
        <v>1000+1000+1000</v>
      </c>
      <c r="F26" s="47" t="str">
        <f>IFERROR(__xludf.DUMMYFUNCTION("""COMPUTED_VALUE"""),"4Feb+9Feb+23")</f>
        <v>4Feb+9Feb+23</v>
      </c>
      <c r="G26" s="32">
        <v>330.0</v>
      </c>
      <c r="H26" s="30">
        <v>25.0</v>
      </c>
      <c r="I26" s="32">
        <v>30.0</v>
      </c>
      <c r="J26" s="48" t="str">
        <f>IFERROR(__xludf.DUMMYFUNCTION("SUM(C26*IMPORTRANGE(""https://docs.google.com/spreadsheets/d/1lwD3A6F0_CU3I2E_oPvBnOzKHK_PmObSat5PPUT-Bc4/edit?gid=214811325#gid=214811325"", ""meal_cost!o1""))"),"#REF!")</f>
        <v>#REF!</v>
      </c>
      <c r="K26" s="49" t="str">
        <f>IFERROR(__xludf.DUMMYFUNCTION("SUM(ARRAYFORMULA(SUM(VALUE(SPLIT(IF(E26&lt;&gt;"""", E26, ""0""), ""+""))))- G26 - H26 - I26- J26)"),"#REF!")</f>
        <v>#REF!</v>
      </c>
      <c r="L26" s="11"/>
      <c r="M26" s="11"/>
      <c r="N26" s="11" t="str">
        <f t="shared" si="2"/>
        <v/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45" t="str">
        <f>IFERROR(__xludf.DUMMYFUNCTION("""COMPUTED_VALUE"""),"Osman Goni")</f>
        <v>Osman Goni</v>
      </c>
      <c r="B27" s="45">
        <f>IFERROR(__xludf.DUMMYFUNCTION("""COMPUTED_VALUE"""),402.0)</f>
        <v>402</v>
      </c>
      <c r="C27" s="46">
        <f>IFERROR(__xludf.DUMMYFUNCTION("""COMPUTED_VALUE"""),56.5)</f>
        <v>56.5</v>
      </c>
      <c r="D27" s="34">
        <f>IFERROR(__xludf.DUMMYFUNCTION("IF(E27&lt;&gt;"""", SUM(ArrayFormula(VALUE(SPLIT(E27, ""+"")))), 0)"),3000.0)</f>
        <v>3000</v>
      </c>
      <c r="E27" s="34" t="str">
        <f>IFERROR(__xludf.DUMMYFUNCTION("""COMPUTED_VALUE"""),"500+1000+1000+500")</f>
        <v>500+1000+1000+500</v>
      </c>
      <c r="F27" s="47" t="str">
        <f>IFERROR(__xludf.DUMMYFUNCTION("""COMPUTED_VALUE"""),"4Feb+6Feb+23")</f>
        <v>4Feb+6Feb+23</v>
      </c>
      <c r="G27" s="32">
        <v>330.0</v>
      </c>
      <c r="H27" s="30">
        <v>25.0</v>
      </c>
      <c r="I27" s="32">
        <v>30.0</v>
      </c>
      <c r="J27" s="48" t="str">
        <f>IFERROR(__xludf.DUMMYFUNCTION("SUM(C27*IMPORTRANGE(""https://docs.google.com/spreadsheets/d/1lwD3A6F0_CU3I2E_oPvBnOzKHK_PmObSat5PPUT-Bc4/edit?gid=214811325#gid=214811325"", ""meal_cost!o1""))"),"#REF!")</f>
        <v>#REF!</v>
      </c>
      <c r="K27" s="49" t="str">
        <f>IFERROR(__xludf.DUMMYFUNCTION("SUM(ARRAYFORMULA(SUM(VALUE(SPLIT(IF(E27&lt;&gt;"""", E27, ""0""), ""+""))))- G27 - H27 - I27- J27)"),"#REF!")</f>
        <v>#REF!</v>
      </c>
      <c r="L27" s="11"/>
      <c r="M27" s="11"/>
      <c r="N27" s="11" t="str">
        <f t="shared" si="2"/>
        <v/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45" t="str">
        <f>IFERROR(__xludf.DUMMYFUNCTION("""COMPUTED_VALUE"""),"Naim")</f>
        <v>Naim</v>
      </c>
      <c r="B28" s="45">
        <f>IFERROR(__xludf.DUMMYFUNCTION("""COMPUTED_VALUE"""),402.0)</f>
        <v>402</v>
      </c>
      <c r="C28" s="46">
        <f>IFERROR(__xludf.DUMMYFUNCTION("""COMPUTED_VALUE"""),55.5)</f>
        <v>55.5</v>
      </c>
      <c r="D28" s="34">
        <f>IFERROR(__xludf.DUMMYFUNCTION("IF(E28&lt;&gt;"""", SUM(ArrayFormula(VALUE(SPLIT(E28, ""+"")))), 0)"),3000.0)</f>
        <v>3000</v>
      </c>
      <c r="E28" s="34">
        <f>IFERROR(__xludf.DUMMYFUNCTION("""COMPUTED_VALUE"""),3000.0)</f>
        <v>3000</v>
      </c>
      <c r="F28" s="47" t="str">
        <f>IFERROR(__xludf.DUMMYFUNCTION("""COMPUTED_VALUE"""),"4Feb")</f>
        <v>4Feb</v>
      </c>
      <c r="G28" s="32">
        <v>330.0</v>
      </c>
      <c r="H28" s="30">
        <v>25.0</v>
      </c>
      <c r="I28" s="32">
        <v>30.0</v>
      </c>
      <c r="J28" s="48" t="str">
        <f>IFERROR(__xludf.DUMMYFUNCTION("SUM(C28*IMPORTRANGE(""https://docs.google.com/spreadsheets/d/1lwD3A6F0_CU3I2E_oPvBnOzKHK_PmObSat5PPUT-Bc4/edit?gid=214811325#gid=214811325"", ""meal_cost!o1""))"),"#REF!")</f>
        <v>#REF!</v>
      </c>
      <c r="K28" s="49" t="str">
        <f>IFERROR(__xludf.DUMMYFUNCTION("SUM(ARRAYFORMULA(SUM(VALUE(SPLIT(IF(E28&lt;&gt;"""", E28, ""0""), ""+""))))- G28 - H28 - I28- J28)"),"#REF!")</f>
        <v>#REF!</v>
      </c>
      <c r="L28" s="11"/>
      <c r="M28" s="11"/>
      <c r="N28" s="11" t="str">
        <f t="shared" si="2"/>
        <v/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45" t="str">
        <f>IFERROR(__xludf.DUMMYFUNCTION("""COMPUTED_VALUE"""),"Miraj")</f>
        <v>Miraj</v>
      </c>
      <c r="B29" s="45">
        <f>IFERROR(__xludf.DUMMYFUNCTION("""COMPUTED_VALUE"""),402.0)</f>
        <v>402</v>
      </c>
      <c r="C29" s="46">
        <f>IFERROR(__xludf.DUMMYFUNCTION("""COMPUTED_VALUE"""),47.5)</f>
        <v>47.5</v>
      </c>
      <c r="D29" s="34">
        <f>IFERROR(__xludf.DUMMYFUNCTION("IF(E29&lt;&gt;"""", SUM(ArrayFormula(VALUE(SPLIT(E29, ""+"")))), 0)"),3000.0)</f>
        <v>3000</v>
      </c>
      <c r="E29" s="34" t="str">
        <f>IFERROR(__xludf.DUMMYFUNCTION("""COMPUTED_VALUE"""),"2000+1000")</f>
        <v>2000+1000</v>
      </c>
      <c r="F29" s="47" t="str">
        <f>IFERROR(__xludf.DUMMYFUNCTION("""COMPUTED_VALUE"""),"4Feb+23")</f>
        <v>4Feb+23</v>
      </c>
      <c r="G29" s="32">
        <v>330.0</v>
      </c>
      <c r="H29" s="30">
        <v>25.0</v>
      </c>
      <c r="I29" s="32">
        <v>30.0</v>
      </c>
      <c r="J29" s="48" t="str">
        <f>IFERROR(__xludf.DUMMYFUNCTION("SUM(C29*IMPORTRANGE(""https://docs.google.com/spreadsheets/d/1lwD3A6F0_CU3I2E_oPvBnOzKHK_PmObSat5PPUT-Bc4/edit?gid=214811325#gid=214811325"", ""meal_cost!o1""))"),"#REF!")</f>
        <v>#REF!</v>
      </c>
      <c r="K29" s="49" t="str">
        <f>IFERROR(__xludf.DUMMYFUNCTION("SUM(ARRAYFORMULA(SUM(VALUE(SPLIT(IF(E29&lt;&gt;"""", E29, ""0""), ""+""))))- G29 - H29 - I29- J29)"),"#REF!")</f>
        <v>#REF!</v>
      </c>
      <c r="L29" s="11"/>
      <c r="M29" s="11"/>
      <c r="N29" s="11" t="str">
        <f t="shared" si="2"/>
        <v/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50" t="str">
        <f>IFERROR(__xludf.DUMMYFUNCTION("""COMPUTED_VALUE"""),"Rakhu")</f>
        <v>Rakhu</v>
      </c>
      <c r="B30" s="45">
        <f>IFERROR(__xludf.DUMMYFUNCTION("""COMPUTED_VALUE"""),403.0)</f>
        <v>403</v>
      </c>
      <c r="C30" s="46">
        <f>IFERROR(__xludf.DUMMYFUNCTION("""COMPUTED_VALUE"""),60.5)</f>
        <v>60.5</v>
      </c>
      <c r="D30" s="34">
        <f>IFERROR(__xludf.DUMMYFUNCTION("IF(E30&lt;&gt;"""", SUM(ArrayFormula(VALUE(SPLIT(E30, ""+"")))), 0)"),2700.0)</f>
        <v>2700</v>
      </c>
      <c r="E30" s="34" t="str">
        <f>IFERROR(__xludf.DUMMYFUNCTION("""COMPUTED_VALUE"""),"1000+900+800")</f>
        <v>1000+900+800</v>
      </c>
      <c r="F30" s="47" t="str">
        <f>IFERROR(__xludf.DUMMYFUNCTION("""COMPUTED_VALUE"""),"4Feb+13Feb+27")</f>
        <v>4Feb+13Feb+27</v>
      </c>
      <c r="G30" s="32">
        <v>330.0</v>
      </c>
      <c r="H30" s="30">
        <v>25.0</v>
      </c>
      <c r="I30" s="32">
        <v>30.0</v>
      </c>
      <c r="J30" s="48" t="str">
        <f>IFERROR(__xludf.DUMMYFUNCTION("SUM(C30*IMPORTRANGE(""https://docs.google.com/spreadsheets/d/1lwD3A6F0_CU3I2E_oPvBnOzKHK_PmObSat5PPUT-Bc4/edit?gid=214811325#gid=214811325"", ""meal_cost!o1""))"),"#REF!")</f>
        <v>#REF!</v>
      </c>
      <c r="K30" s="49" t="str">
        <f>IFERROR(__xludf.DUMMYFUNCTION("SUM(ARRAYFORMULA(SUM(VALUE(SPLIT(IF(E30&lt;&gt;"""", E30, ""0""), ""+""))))- G30 - H30 - I30- J30)"),"#REF!")</f>
        <v>#REF!</v>
      </c>
      <c r="L30" s="11"/>
      <c r="M30" s="11"/>
      <c r="N30" s="11" t="str">
        <f t="shared" si="2"/>
        <v>#REF!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45" t="str">
        <f>IFERROR(__xludf.DUMMYFUNCTION("""COMPUTED_VALUE"""),"Shopon")</f>
        <v>Shopon</v>
      </c>
      <c r="B31" s="45">
        <f>IFERROR(__xludf.DUMMYFUNCTION("""COMPUTED_VALUE"""),403.0)</f>
        <v>403</v>
      </c>
      <c r="C31" s="46">
        <f>IFERROR(__xludf.DUMMYFUNCTION("""COMPUTED_VALUE"""),49.5)</f>
        <v>49.5</v>
      </c>
      <c r="D31" s="34">
        <f>IFERROR(__xludf.DUMMYFUNCTION("IF(E31&lt;&gt;"""", SUM(ArrayFormula(VALUE(SPLIT(E31, ""+"")))), 0)"),2400.0)</f>
        <v>2400</v>
      </c>
      <c r="E31" s="53" t="str">
        <f>IFERROR(__xludf.DUMMYFUNCTION("""COMPUTED_VALUE"""),"2000+400")</f>
        <v>2000+400</v>
      </c>
      <c r="F31" s="54" t="str">
        <f>IFERROR(__xludf.DUMMYFUNCTION("""COMPUTED_VALUE"""),"4Feb")</f>
        <v>4Feb</v>
      </c>
      <c r="G31" s="32">
        <v>330.0</v>
      </c>
      <c r="H31" s="30">
        <v>25.0</v>
      </c>
      <c r="I31" s="32">
        <v>30.0</v>
      </c>
      <c r="J31" s="48" t="str">
        <f>IFERROR(__xludf.DUMMYFUNCTION("SUM(C31*IMPORTRANGE(""https://docs.google.com/spreadsheets/d/1lwD3A6F0_CU3I2E_oPvBnOzKHK_PmObSat5PPUT-Bc4/edit?gid=214811325#gid=214811325"", ""meal_cost!o1""))"),"#REF!")</f>
        <v>#REF!</v>
      </c>
      <c r="K31" s="49" t="str">
        <f>IFERROR(__xludf.DUMMYFUNCTION("SUM(ARRAYFORMULA(SUM(VALUE(SPLIT(IF(E31&lt;&gt;"""", E31, ""0""), ""+""))))- G31 - H31 - I31- J31)"),"#REF!")</f>
        <v>#REF!</v>
      </c>
      <c r="L31" s="11"/>
      <c r="M31" s="11"/>
      <c r="N31" s="11" t="str">
        <f t="shared" si="2"/>
        <v>#REF!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45" t="str">
        <f>IFERROR(__xludf.DUMMYFUNCTION("""COMPUTED_VALUE"""),"Apon")</f>
        <v>Apon</v>
      </c>
      <c r="B32" s="45">
        <f>IFERROR(__xludf.DUMMYFUNCTION("""COMPUTED_VALUE"""),404.0)</f>
        <v>404</v>
      </c>
      <c r="C32" s="46">
        <f>IFERROR(__xludf.DUMMYFUNCTION("""COMPUTED_VALUE"""),45.5)</f>
        <v>45.5</v>
      </c>
      <c r="D32" s="34">
        <f>IFERROR(__xludf.DUMMYFUNCTION("IF(E32&lt;&gt;"""", SUM(ArrayFormula(VALUE(SPLIT(E32, ""+"")))), 0)"),2100.0)</f>
        <v>2100</v>
      </c>
      <c r="E32" s="34" t="str">
        <f>IFERROR(__xludf.DUMMYFUNCTION("""COMPUTED_VALUE"""),"500+1000+600")</f>
        <v>500+1000+600</v>
      </c>
      <c r="F32" s="47" t="str">
        <f>IFERROR(__xludf.DUMMYFUNCTION("""COMPUTED_VALUE"""),"4Feb+9feb+16Feb")</f>
        <v>4Feb+9feb+16Feb</v>
      </c>
      <c r="G32" s="32">
        <v>330.0</v>
      </c>
      <c r="H32" s="30">
        <v>50.0</v>
      </c>
      <c r="I32" s="32">
        <v>30.0</v>
      </c>
      <c r="J32" s="48" t="str">
        <f>IFERROR(__xludf.DUMMYFUNCTION("SUM(C32*IMPORTRANGE(""https://docs.google.com/spreadsheets/d/1lwD3A6F0_CU3I2E_oPvBnOzKHK_PmObSat5PPUT-Bc4/edit?gid=214811325#gid=214811325"", ""meal_cost!o1""))"),"#REF!")</f>
        <v>#REF!</v>
      </c>
      <c r="K32" s="49" t="str">
        <f>IFERROR(__xludf.DUMMYFUNCTION("SUM(ARRAYFORMULA(SUM(VALUE(SPLIT(IF(E32&lt;&gt;"""", E32, ""0""), ""+""))))- G32 - H32 - I32- J32)"),"#REF!")</f>
        <v>#REF!</v>
      </c>
      <c r="L32" s="11"/>
      <c r="M32" s="11"/>
      <c r="N32" s="11" t="str">
        <f t="shared" si="2"/>
        <v>#REF!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55" t="str">
        <f>IFERROR(__xludf.DUMMYFUNCTION("""COMPUTED_VALUE"""),"Ridoy")</f>
        <v>Ridoy</v>
      </c>
      <c r="B33" s="45">
        <f>IFERROR(__xludf.DUMMYFUNCTION("""COMPUTED_VALUE"""),404.0)</f>
        <v>404</v>
      </c>
      <c r="C33" s="46">
        <f>IFERROR(__xludf.DUMMYFUNCTION("""COMPUTED_VALUE"""),48.5)</f>
        <v>48.5</v>
      </c>
      <c r="D33" s="34">
        <f>IFERROR(__xludf.DUMMYFUNCTION("IF(E33&lt;&gt;"""", SUM(ArrayFormula(VALUE(SPLIT(E33, ""+"")))), 0)"),2000.0)</f>
        <v>2000</v>
      </c>
      <c r="E33" s="53" t="str">
        <f>IFERROR(__xludf.DUMMYFUNCTION("""COMPUTED_VALUE"""),"1500+500")</f>
        <v>1500+500</v>
      </c>
      <c r="F33" s="54" t="str">
        <f>IFERROR(__xludf.DUMMYFUNCTION("""COMPUTED_VALUE"""),"7 Feb+13Feb")</f>
        <v>7 Feb+13Feb</v>
      </c>
      <c r="G33" s="32">
        <v>330.0</v>
      </c>
      <c r="H33" s="30">
        <v>25.0</v>
      </c>
      <c r="I33" s="32">
        <v>30.0</v>
      </c>
      <c r="J33" s="48" t="str">
        <f>IFERROR(__xludf.DUMMYFUNCTION("SUM(C33*IMPORTRANGE(""https://docs.google.com/spreadsheets/d/1lwD3A6F0_CU3I2E_oPvBnOzKHK_PmObSat5PPUT-Bc4/edit?gid=214811325#gid=214811325"", ""meal_cost!o1""))"),"#REF!")</f>
        <v>#REF!</v>
      </c>
      <c r="K33" s="49" t="str">
        <f>IFERROR(__xludf.DUMMYFUNCTION("SUM(ARRAYFORMULA(SUM(VALUE(SPLIT(IF(E33&lt;&gt;"""", E33, ""0""), ""+""))))- G33 - H33 - I33- J33)"),"#REF!")</f>
        <v>#REF!</v>
      </c>
      <c r="L33" s="11"/>
      <c r="M33" s="11"/>
      <c r="N33" s="11" t="str">
        <f t="shared" si="2"/>
        <v>#REF!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45" t="str">
        <f>IFERROR(__xludf.DUMMYFUNCTION("""COMPUTED_VALUE"""),"Forhad - Long")</f>
        <v>Forhad - Long</v>
      </c>
      <c r="B34" s="45">
        <f>IFERROR(__xludf.DUMMYFUNCTION("""COMPUTED_VALUE"""),405.0)</f>
        <v>405</v>
      </c>
      <c r="C34" s="46">
        <f>IFERROR(__xludf.DUMMYFUNCTION("""COMPUTED_VALUE"""),58.0)</f>
        <v>58</v>
      </c>
      <c r="D34" s="34">
        <f>IFERROR(__xludf.DUMMYFUNCTION("IF(E34&lt;&gt;"""", SUM(ArrayFormula(VALUE(SPLIT(E34, ""+"")))), 0)"),2500.0)</f>
        <v>2500</v>
      </c>
      <c r="E34" s="34">
        <f>IFERROR(__xludf.DUMMYFUNCTION("""COMPUTED_VALUE"""),2500.0)</f>
        <v>2500</v>
      </c>
      <c r="F34" s="47" t="str">
        <f>IFERROR(__xludf.DUMMYFUNCTION("""COMPUTED_VALUE"""),"4Feb")</f>
        <v>4Feb</v>
      </c>
      <c r="G34" s="32">
        <v>330.0</v>
      </c>
      <c r="H34" s="30">
        <v>25.0</v>
      </c>
      <c r="I34" s="32">
        <v>30.0</v>
      </c>
      <c r="J34" s="48" t="str">
        <f>IFERROR(__xludf.DUMMYFUNCTION("SUM(C34*IMPORTRANGE(""https://docs.google.com/spreadsheets/d/1lwD3A6F0_CU3I2E_oPvBnOzKHK_PmObSat5PPUT-Bc4/edit?gid=214811325#gid=214811325"", ""meal_cost!o1""))"),"#REF!")</f>
        <v>#REF!</v>
      </c>
      <c r="K34" s="49" t="str">
        <f>IFERROR(__xludf.DUMMYFUNCTION("SUM(ARRAYFORMULA(SUM(VALUE(SPLIT(IF(E34&lt;&gt;"""", E34, ""0""), ""+""))))- G34 - H34 - I34- J34)"),"#REF!")</f>
        <v>#REF!</v>
      </c>
      <c r="L34" s="11"/>
      <c r="M34" s="11"/>
      <c r="N34" s="11" t="str">
        <f t="shared" si="2"/>
        <v>#REF!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45" t="str">
        <f>IFERROR(__xludf.DUMMYFUNCTION("""COMPUTED_VALUE"""),"Sihab")</f>
        <v>Sihab</v>
      </c>
      <c r="B35" s="45">
        <f>IFERROR(__xludf.DUMMYFUNCTION("""COMPUTED_VALUE"""),406.0)</f>
        <v>406</v>
      </c>
      <c r="C35" s="46">
        <f>IFERROR(__xludf.DUMMYFUNCTION("""COMPUTED_VALUE"""),55.5)</f>
        <v>55.5</v>
      </c>
      <c r="D35" s="34">
        <f>IFERROR(__xludf.DUMMYFUNCTION("IF(E35&lt;&gt;"""", SUM(ArrayFormula(VALUE(SPLIT(E35, ""+"")))), 0)"),2600.0)</f>
        <v>2600</v>
      </c>
      <c r="E35" s="53" t="str">
        <f>IFERROR(__xludf.DUMMYFUNCTION("""COMPUTED_VALUE"""),"1000+800+800")</f>
        <v>1000+800+800</v>
      </c>
      <c r="F35" s="54" t="str">
        <f>IFERROR(__xludf.DUMMYFUNCTION("""COMPUTED_VALUE"""),"4Feb+13Feb+19Feb")</f>
        <v>4Feb+13Feb+19Feb</v>
      </c>
      <c r="G35" s="32">
        <v>330.0</v>
      </c>
      <c r="H35" s="30">
        <v>50.0</v>
      </c>
      <c r="I35" s="32">
        <v>30.0</v>
      </c>
      <c r="J35" s="48" t="str">
        <f>IFERROR(__xludf.DUMMYFUNCTION("SUM(C35*IMPORTRANGE(""https://docs.google.com/spreadsheets/d/1lwD3A6F0_CU3I2E_oPvBnOzKHK_PmObSat5PPUT-Bc4/edit?gid=214811325#gid=214811325"", ""meal_cost!o1""))"),"#REF!")</f>
        <v>#REF!</v>
      </c>
      <c r="K35" s="49" t="str">
        <f>IFERROR(__xludf.DUMMYFUNCTION("SUM(ARRAYFORMULA(SUM(VALUE(SPLIT(IF(E35&lt;&gt;"""", E35, ""0""), ""+""))))- G35 - H35 - I35- J35)"),"#REF!")</f>
        <v>#REF!</v>
      </c>
      <c r="L35" s="11"/>
      <c r="M35" s="11"/>
      <c r="N35" s="11" t="str">
        <f t="shared" si="2"/>
        <v>#REF!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45" t="str">
        <f>IFERROR(__xludf.DUMMYFUNCTION("""COMPUTED_VALUE"""),"Shoishob")</f>
        <v>Shoishob</v>
      </c>
      <c r="B36" s="45">
        <f>IFERROR(__xludf.DUMMYFUNCTION("""COMPUTED_VALUE"""),406.0)</f>
        <v>406</v>
      </c>
      <c r="C36" s="46">
        <f>IFERROR(__xludf.DUMMYFUNCTION("""COMPUTED_VALUE"""),49.5)</f>
        <v>49.5</v>
      </c>
      <c r="D36" s="34">
        <f>IFERROR(__xludf.DUMMYFUNCTION("IF(E36&lt;&gt;"""", SUM(ArrayFormula(VALUE(SPLIT(E36, ""+"")))), 0)"),3000.0)</f>
        <v>3000</v>
      </c>
      <c r="E36" s="34" t="str">
        <f>IFERROR(__xludf.DUMMYFUNCTION("""COMPUTED_VALUE"""),"500+500+1000+1000")</f>
        <v>500+500+1000+1000</v>
      </c>
      <c r="F36" s="47" t="str">
        <f>IFERROR(__xludf.DUMMYFUNCTION("""COMPUTED_VALUE"""),"4Feb+10Feb+17Feb")</f>
        <v>4Feb+10Feb+17Feb</v>
      </c>
      <c r="G36" s="32">
        <v>330.0</v>
      </c>
      <c r="H36" s="30">
        <v>25.0</v>
      </c>
      <c r="I36" s="32">
        <v>30.0</v>
      </c>
      <c r="J36" s="48" t="str">
        <f>IFERROR(__xludf.DUMMYFUNCTION("SUM(C36*IMPORTRANGE(""https://docs.google.com/spreadsheets/d/1lwD3A6F0_CU3I2E_oPvBnOzKHK_PmObSat5PPUT-Bc4/edit?gid=214811325#gid=214811325"", ""meal_cost!o1""))"),"#REF!")</f>
        <v>#REF!</v>
      </c>
      <c r="K36" s="49" t="str">
        <f>IFERROR(__xludf.DUMMYFUNCTION("SUM(ARRAYFORMULA(SUM(VALUE(SPLIT(IF(E36&lt;&gt;"""", E36, ""0""), ""+""))))- G36 - H36 - I36- J36)"),"#REF!")</f>
        <v>#REF!</v>
      </c>
      <c r="L36" s="11"/>
      <c r="M36" s="11"/>
      <c r="N36" s="11" t="str">
        <f t="shared" si="2"/>
        <v/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56" t="str">
        <f>IFERROR(__xludf.DUMMYFUNCTION("""COMPUTED_VALUE"""),"Fahim")</f>
        <v>Fahim</v>
      </c>
      <c r="B37" s="56">
        <f>IFERROR(__xludf.DUMMYFUNCTION("""COMPUTED_VALUE"""),406.0)</f>
        <v>406</v>
      </c>
      <c r="C37" s="57">
        <f>IFERROR(__xludf.DUMMYFUNCTION("""COMPUTED_VALUE"""),4.0)</f>
        <v>4</v>
      </c>
      <c r="D37" s="58">
        <f>IFERROR(__xludf.DUMMYFUNCTION("IF(E37&lt;&gt;"""", SUM(ArrayFormula(VALUE(SPLIT(E37, ""+"")))), 0)"),500.0)</f>
        <v>500</v>
      </c>
      <c r="E37" s="58">
        <f>IFERROR(__xludf.DUMMYFUNCTION("""COMPUTED_VALUE"""),500.0)</f>
        <v>500</v>
      </c>
      <c r="F37" s="59"/>
      <c r="G37" s="60"/>
      <c r="H37" s="61"/>
      <c r="I37" s="43"/>
      <c r="J37" s="62"/>
      <c r="K37" s="49"/>
      <c r="L37" s="63"/>
      <c r="M37" s="63"/>
      <c r="N37" s="11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>
      <c r="A38" s="45" t="str">
        <f>IFERROR(__xludf.DUMMYFUNCTION("""COMPUTED_VALUE"""),"Sumon")</f>
        <v>Sumon</v>
      </c>
      <c r="B38" s="45">
        <f>IFERROR(__xludf.DUMMYFUNCTION("""COMPUTED_VALUE"""),407.0)</f>
        <v>407</v>
      </c>
      <c r="C38" s="46">
        <f>IFERROR(__xludf.DUMMYFUNCTION("""COMPUTED_VALUE"""),51.5)</f>
        <v>51.5</v>
      </c>
      <c r="D38" s="34">
        <f>IFERROR(__xludf.DUMMYFUNCTION("IF(E38&lt;&gt;"""", SUM(ArrayFormula(VALUE(SPLIT(E38, ""+"")))), 0)"),2800.0)</f>
        <v>2800</v>
      </c>
      <c r="E38" s="34" t="str">
        <f>IFERROR(__xludf.DUMMYFUNCTION("""COMPUTED_VALUE"""),"800+2000")</f>
        <v>800+2000</v>
      </c>
      <c r="F38" s="47" t="str">
        <f>IFERROR(__xludf.DUMMYFUNCTION("""COMPUTED_VALUE"""),"4Feb+9Feb")</f>
        <v>4Feb+9Feb</v>
      </c>
      <c r="G38" s="32">
        <v>330.0</v>
      </c>
      <c r="H38" s="30">
        <v>25.0</v>
      </c>
      <c r="I38" s="32">
        <v>30.0</v>
      </c>
      <c r="J38" s="48" t="str">
        <f>IFERROR(__xludf.DUMMYFUNCTION("SUM(C38*IMPORTRANGE(""https://docs.google.com/spreadsheets/d/1lwD3A6F0_CU3I2E_oPvBnOzKHK_PmObSat5PPUT-Bc4/edit?gid=214811325#gid=214811325"", ""meal_cost!o1""))"),"#REF!")</f>
        <v>#REF!</v>
      </c>
      <c r="K38" s="49" t="str">
        <f>IFERROR(__xludf.DUMMYFUNCTION("SUM(ARRAYFORMULA(SUM(VALUE(SPLIT(IF(E38&lt;&gt;"""", E38, ""0""), ""+""))))- G38 - H38 - I38- J38)"),"#REF!")</f>
        <v>#REF!</v>
      </c>
      <c r="L38" s="11"/>
      <c r="M38" s="11"/>
      <c r="N38" s="11" t="str">
        <f t="shared" ref="N38:N39" si="3">IF(D38 &lt; 3000, A38 &amp; " " &amp; B38 &amp; " | diyesen: " &amp; D38 &amp; " | deoa baki: " &amp; (3000 - D38) &amp; " | Balance: " &amp; ROUND(K38, 0), "")</f>
        <v>#REF!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45" t="str">
        <f>IFERROR(__xludf.DUMMYFUNCTION("""COMPUTED_VALUE"""),"Anis")</f>
        <v>Anis</v>
      </c>
      <c r="B39" s="45">
        <f>IFERROR(__xludf.DUMMYFUNCTION("""COMPUTED_VALUE"""),407.0)</f>
        <v>407</v>
      </c>
      <c r="C39" s="46">
        <f>IFERROR(__xludf.DUMMYFUNCTION("""COMPUTED_VALUE"""),64.5)</f>
        <v>64.5</v>
      </c>
      <c r="D39" s="34">
        <f>IFERROR(__xludf.DUMMYFUNCTION("IF(E39&lt;&gt;"""", SUM(ArrayFormula(VALUE(SPLIT(E39, ""+"")))), 0)"),3000.0)</f>
        <v>3000</v>
      </c>
      <c r="E39" s="53" t="str">
        <f>IFERROR(__xludf.DUMMYFUNCTION("""COMPUTED_VALUE"""),"1000+1300+700")</f>
        <v>1000+1300+700</v>
      </c>
      <c r="F39" s="54" t="str">
        <f>IFERROR(__xludf.DUMMYFUNCTION("""COMPUTED_VALUE"""),"4Feb+9Feb+23Feb")</f>
        <v>4Feb+9Feb+23Feb</v>
      </c>
      <c r="G39" s="32">
        <v>330.0</v>
      </c>
      <c r="H39" s="30">
        <v>25.0</v>
      </c>
      <c r="I39" s="32">
        <v>30.0</v>
      </c>
      <c r="J39" s="48" t="str">
        <f>IFERROR(__xludf.DUMMYFUNCTION("SUM(C39*IMPORTRANGE(""https://docs.google.com/spreadsheets/d/1lwD3A6F0_CU3I2E_oPvBnOzKHK_PmObSat5PPUT-Bc4/edit?gid=214811325#gid=214811325"", ""meal_cost!o1""))"),"#REF!")</f>
        <v>#REF!</v>
      </c>
      <c r="K39" s="49" t="str">
        <f>IFERROR(__xludf.DUMMYFUNCTION("SUM(ARRAYFORMULA(SUM(VALUE(SPLIT(IF(E39&lt;&gt;"""", E39, ""0""), ""+""))))- G39 - H39 - I39- J39)"),"#REF!")</f>
        <v>#REF!</v>
      </c>
      <c r="L39" s="11"/>
      <c r="M39" s="11"/>
      <c r="N39" s="11" t="str">
        <f t="shared" si="3"/>
        <v/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56" t="str">
        <f>IFERROR(__xludf.DUMMYFUNCTION("""COMPUTED_VALUE"""),"Munna")</f>
        <v>Munna</v>
      </c>
      <c r="B40" s="56">
        <f>IFERROR(__xludf.DUMMYFUNCTION("""COMPUTED_VALUE"""),407.0)</f>
        <v>407</v>
      </c>
      <c r="C40" s="57">
        <f>IFERROR(__xludf.DUMMYFUNCTION("""COMPUTED_VALUE"""),22.0)</f>
        <v>22</v>
      </c>
      <c r="D40" s="58">
        <f>IFERROR(__xludf.DUMMYFUNCTION("IF(E40&lt;&gt;"""", SUM(ArrayFormula(VALUE(SPLIT(E40, ""+"")))), 0)"),1000.0)</f>
        <v>1000</v>
      </c>
      <c r="E40" s="58" t="str">
        <f>IFERROR(__xludf.DUMMYFUNCTION("""COMPUTED_VALUE"""),"500+500")</f>
        <v>500+500</v>
      </c>
      <c r="F40" s="59" t="str">
        <f>IFERROR(__xludf.DUMMYFUNCTION("""COMPUTED_VALUE"""),"4Feb")</f>
        <v>4Feb</v>
      </c>
      <c r="G40" s="32">
        <v>165.0</v>
      </c>
      <c r="H40" s="30">
        <v>25.0</v>
      </c>
      <c r="I40" s="43">
        <v>30.0</v>
      </c>
      <c r="J40" s="64" t="str">
        <f>IFERROR(__xludf.DUMMYFUNCTION("SUM(C40*IMPORTRANGE(""https://docs.google.com/spreadsheets/d/1lwD3A6F0_CU3I2E_oPvBnOzKHK_PmObSat5PPUT-Bc4/edit?gid=214811325#gid=214811325"", ""meal_cost!o1""))"),"#REF!")</f>
        <v>#REF!</v>
      </c>
      <c r="K40" s="49" t="str">
        <f>IFERROR(__xludf.DUMMYFUNCTION("SUM(ARRAYFORMULA(SUM(VALUE(SPLIT(IF(E40&lt;&gt;"""", E40, ""0""), ""+""))))- G40 - H40 - I40- J40)"),"#REF!")</f>
        <v>#REF!</v>
      </c>
      <c r="L40" s="63"/>
      <c r="M40" s="63"/>
      <c r="N40" s="11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>
      <c r="A41" s="45" t="str">
        <f>IFERROR(__xludf.DUMMYFUNCTION("""COMPUTED_VALUE"""),"Shopon")</f>
        <v>Shopon</v>
      </c>
      <c r="B41" s="45">
        <f>IFERROR(__xludf.DUMMYFUNCTION("""COMPUTED_VALUE"""),408.0)</f>
        <v>408</v>
      </c>
      <c r="C41" s="46">
        <f>IFERROR(__xludf.DUMMYFUNCTION("""COMPUTED_VALUE"""),61.0)</f>
        <v>61</v>
      </c>
      <c r="D41" s="34">
        <f>IFERROR(__xludf.DUMMYFUNCTION("IF(E41&lt;&gt;"""", SUM(ArrayFormula(VALUE(SPLIT(E41, ""+"")))), 0)"),3200.0)</f>
        <v>3200</v>
      </c>
      <c r="E41" s="34" t="str">
        <f>IFERROR(__xludf.DUMMYFUNCTION("""COMPUTED_VALUE"""),"1200+2000")</f>
        <v>1200+2000</v>
      </c>
      <c r="F41" s="47" t="str">
        <f>IFERROR(__xludf.DUMMYFUNCTION("""COMPUTED_VALUE"""),"5Feb+13Feb")</f>
        <v>5Feb+13Feb</v>
      </c>
      <c r="G41" s="32">
        <v>330.0</v>
      </c>
      <c r="H41" s="30">
        <v>25.0</v>
      </c>
      <c r="I41" s="32">
        <v>30.0</v>
      </c>
      <c r="J41" s="48" t="str">
        <f>IFERROR(__xludf.DUMMYFUNCTION("SUM(C41*IMPORTRANGE(""https://docs.google.com/spreadsheets/d/1lwD3A6F0_CU3I2E_oPvBnOzKHK_PmObSat5PPUT-Bc4/edit?gid=214811325#gid=214811325"", ""meal_cost!o1""))"),"#REF!")</f>
        <v>#REF!</v>
      </c>
      <c r="K41" s="49" t="str">
        <f>IFERROR(__xludf.DUMMYFUNCTION("SUM(ARRAYFORMULA(SUM(VALUE(SPLIT(IF(E41&lt;&gt;"""", E41, ""0""), ""+""))))- G41 - H41 - I41- J41)"),"#REF!")</f>
        <v>#REF!</v>
      </c>
      <c r="L41" s="11"/>
      <c r="M41" s="11"/>
      <c r="N41" s="11" t="str">
        <f t="shared" ref="N41:N44" si="4">IF(D41 &lt; 3000, A41 &amp; " " &amp; B41 &amp; " | diyesen: " &amp; D41 &amp; " | deoa baki: " &amp; (3000 - D41) &amp; " | Balance: " &amp; ROUND(K41, 0), "")</f>
        <v/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45" t="str">
        <f>IFERROR(__xludf.DUMMYFUNCTION("""COMPUTED_VALUE"""),"Maruf")</f>
        <v>Maruf</v>
      </c>
      <c r="B42" s="45">
        <f>IFERROR(__xludf.DUMMYFUNCTION("""COMPUTED_VALUE"""),501.0)</f>
        <v>501</v>
      </c>
      <c r="C42" s="46">
        <f>IFERROR(__xludf.DUMMYFUNCTION("""COMPUTED_VALUE"""),58.0)</f>
        <v>58</v>
      </c>
      <c r="D42" s="34">
        <f>IFERROR(__xludf.DUMMYFUNCTION("IF(E42&lt;&gt;"""", SUM(ArrayFormula(VALUE(SPLIT(E42, ""+"")))), 0)"),3000.0)</f>
        <v>3000</v>
      </c>
      <c r="E42" s="34" t="str">
        <f>IFERROR(__xludf.DUMMYFUNCTION("""COMPUTED_VALUE"""),"500+1000+500+1000")</f>
        <v>500+1000+500+1000</v>
      </c>
      <c r="F42" s="47" t="str">
        <f>IFERROR(__xludf.DUMMYFUNCTION("""COMPUTED_VALUE"""),"4Feb+6Feb+15Feb+23Feb")</f>
        <v>4Feb+6Feb+15Feb+23Feb</v>
      </c>
      <c r="G42" s="32">
        <v>330.0</v>
      </c>
      <c r="H42" s="30">
        <v>25.0</v>
      </c>
      <c r="I42" s="32">
        <v>30.0</v>
      </c>
      <c r="J42" s="48" t="str">
        <f>IFERROR(__xludf.DUMMYFUNCTION("SUM(C42*IMPORTRANGE(""https://docs.google.com/spreadsheets/d/1lwD3A6F0_CU3I2E_oPvBnOzKHK_PmObSat5PPUT-Bc4/edit?gid=214811325#gid=214811325"", ""meal_cost!o1""))"),"#REF!")</f>
        <v>#REF!</v>
      </c>
      <c r="K42" s="49" t="str">
        <f>IFERROR(__xludf.DUMMYFUNCTION("SUM(ARRAYFORMULA(SUM(VALUE(SPLIT(IF(E42&lt;&gt;"""", E42, ""0""), ""+""))))- G42 - H42 - I42- J42)"),"#REF!")</f>
        <v>#REF!</v>
      </c>
      <c r="L42" s="11"/>
      <c r="M42" s="11"/>
      <c r="N42" s="11" t="str">
        <f t="shared" si="4"/>
        <v/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45" t="str">
        <f>IFERROR(__xludf.DUMMYFUNCTION("""COMPUTED_VALUE"""),"Shamim")</f>
        <v>Shamim</v>
      </c>
      <c r="B43" s="45">
        <f>IFERROR(__xludf.DUMMYFUNCTION("""COMPUTED_VALUE"""),502.0)</f>
        <v>502</v>
      </c>
      <c r="C43" s="46">
        <f>IFERROR(__xludf.DUMMYFUNCTION("""COMPUTED_VALUE"""),78.0)</f>
        <v>78</v>
      </c>
      <c r="D43" s="34">
        <f>IFERROR(__xludf.DUMMYFUNCTION("IF(E43&lt;&gt;"""", SUM(ArrayFormula(VALUE(SPLIT(E43, ""+"")))), 0)"),3000.0)</f>
        <v>3000</v>
      </c>
      <c r="E43" s="34">
        <f>IFERROR(__xludf.DUMMYFUNCTION("""COMPUTED_VALUE"""),3000.0)</f>
        <v>3000</v>
      </c>
      <c r="F43" s="47" t="str">
        <f>IFERROR(__xludf.DUMMYFUNCTION("""COMPUTED_VALUE"""),"4Feb")</f>
        <v>4Feb</v>
      </c>
      <c r="G43" s="32">
        <v>330.0</v>
      </c>
      <c r="H43" s="30">
        <v>25.0</v>
      </c>
      <c r="I43" s="32">
        <v>30.0</v>
      </c>
      <c r="J43" s="48" t="str">
        <f>IFERROR(__xludf.DUMMYFUNCTION("SUM(C43*IMPORTRANGE(""https://docs.google.com/spreadsheets/d/1lwD3A6F0_CU3I2E_oPvBnOzKHK_PmObSat5PPUT-Bc4/edit?gid=214811325#gid=214811325"", ""meal_cost!o1""))"),"#REF!")</f>
        <v>#REF!</v>
      </c>
      <c r="K43" s="49" t="str">
        <f>IFERROR(__xludf.DUMMYFUNCTION("SUM(ARRAYFORMULA(SUM(VALUE(SPLIT(IF(E43&lt;&gt;"""", E43, ""0""), ""+""))))- G43 - H43 - I43- J43)"),"#REF!")</f>
        <v>#REF!</v>
      </c>
      <c r="L43" s="11"/>
      <c r="M43" s="11"/>
      <c r="N43" s="11" t="str">
        <f t="shared" si="4"/>
        <v/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45" t="str">
        <f>IFERROR(__xludf.DUMMYFUNCTION("""COMPUTED_VALUE"""),"Alamin")</f>
        <v>Alamin</v>
      </c>
      <c r="B44" s="45">
        <f>IFERROR(__xludf.DUMMYFUNCTION("""COMPUTED_VALUE"""),502.0)</f>
        <v>502</v>
      </c>
      <c r="C44" s="46">
        <f>IFERROR(__xludf.DUMMYFUNCTION("""COMPUTED_VALUE"""),44.5)</f>
        <v>44.5</v>
      </c>
      <c r="D44" s="34">
        <f>IFERROR(__xludf.DUMMYFUNCTION("IF(E44&lt;&gt;"""", SUM(ArrayFormula(VALUE(SPLIT(E44, ""+"")))), 0)"),2000.0)</f>
        <v>2000</v>
      </c>
      <c r="E44" s="34" t="str">
        <f>IFERROR(__xludf.DUMMYFUNCTION("""COMPUTED_VALUE"""),"1000+1000")</f>
        <v>1000+1000</v>
      </c>
      <c r="F44" s="47" t="str">
        <f>IFERROR(__xludf.DUMMYFUNCTION("""COMPUTED_VALUE"""),"4Feb+13Feb")</f>
        <v>4Feb+13Feb</v>
      </c>
      <c r="G44" s="32">
        <v>330.0</v>
      </c>
      <c r="H44" s="30">
        <v>25.0</v>
      </c>
      <c r="I44" s="32">
        <v>30.0</v>
      </c>
      <c r="J44" s="48" t="str">
        <f>IFERROR(__xludf.DUMMYFUNCTION("SUM(C44*IMPORTRANGE(""https://docs.google.com/spreadsheets/d/1lwD3A6F0_CU3I2E_oPvBnOzKHK_PmObSat5PPUT-Bc4/edit?gid=214811325#gid=214811325"", ""meal_cost!o1""))"),"#REF!")</f>
        <v>#REF!</v>
      </c>
      <c r="K44" s="49" t="str">
        <f>IFERROR(__xludf.DUMMYFUNCTION("SUM(ARRAYFORMULA(SUM(VALUE(SPLIT(IF(E44&lt;&gt;"""", E44, ""0""), ""+""))))- G44 - H44 - I44- J44)"),"#REF!")</f>
        <v>#REF!</v>
      </c>
      <c r="L44" s="11"/>
      <c r="M44" s="11"/>
      <c r="N44" s="11" t="str">
        <f t="shared" si="4"/>
        <v>#REF!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56" t="str">
        <f>IFERROR(__xludf.DUMMYFUNCTION("""COMPUTED_VALUE"""),"Muntasir")</f>
        <v>Muntasir</v>
      </c>
      <c r="B45" s="56">
        <f>IFERROR(__xludf.DUMMYFUNCTION("""COMPUTED_VALUE"""),502.0)</f>
        <v>502</v>
      </c>
      <c r="C45" s="57">
        <f>IFERROR(__xludf.DUMMYFUNCTION("""COMPUTED_VALUE"""),17.5)</f>
        <v>17.5</v>
      </c>
      <c r="D45" s="58">
        <f>IFERROR(__xludf.DUMMYFUNCTION("IF(E45&lt;&gt;"""", SUM(ArrayFormula(VALUE(SPLIT(E45, ""+"")))), 0)"),830.0)</f>
        <v>830</v>
      </c>
      <c r="E45" s="58" t="str">
        <f>IFERROR(__xludf.DUMMYFUNCTION("""COMPUTED_VALUE"""),"500+330")</f>
        <v>500+330</v>
      </c>
      <c r="F45" s="59" t="str">
        <f>IFERROR(__xludf.DUMMYFUNCTION("""COMPUTED_VALUE"""),"4Feb+6Feb+15Feb")</f>
        <v>4Feb+6Feb+15Feb</v>
      </c>
      <c r="G45" s="32">
        <v>165.0</v>
      </c>
      <c r="H45" s="30">
        <v>25.0</v>
      </c>
      <c r="I45" s="43">
        <v>30.0</v>
      </c>
      <c r="J45" s="64" t="str">
        <f>IFERROR(__xludf.DUMMYFUNCTION("SUM(C45*IMPORTRANGE(""https://docs.google.com/spreadsheets/d/1lwD3A6F0_CU3I2E_oPvBnOzKHK_PmObSat5PPUT-Bc4/edit?gid=214811325#gid=214811325"", ""meal_cost!o1""))"),"#REF!")</f>
        <v>#REF!</v>
      </c>
      <c r="K45" s="49" t="str">
        <f>IFERROR(__xludf.DUMMYFUNCTION("SUM(ARRAYFORMULA(SUM(VALUE(SPLIT(IF(E45&lt;&gt;"""", E45, ""0""), ""+""))))- G45 - H45 - I45- J45)"),"#REF!")</f>
        <v>#REF!</v>
      </c>
      <c r="L45" s="63"/>
      <c r="M45" s="63"/>
      <c r="N45" s="11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>
      <c r="A46" s="45" t="str">
        <f>IFERROR(__xludf.DUMMYFUNCTION("""COMPUTED_VALUE"""),"Rishad")</f>
        <v>Rishad</v>
      </c>
      <c r="B46" s="45">
        <f>IFERROR(__xludf.DUMMYFUNCTION("""COMPUTED_VALUE"""),503.0)</f>
        <v>503</v>
      </c>
      <c r="C46" s="46">
        <f>IFERROR(__xludf.DUMMYFUNCTION("""COMPUTED_VALUE"""),42.0)</f>
        <v>42</v>
      </c>
      <c r="D46" s="34">
        <f>IFERROR(__xludf.DUMMYFUNCTION("IF(E46&lt;&gt;"""", SUM(ArrayFormula(VALUE(SPLIT(E46, ""+"")))), 0)"),2100.0)</f>
        <v>2100</v>
      </c>
      <c r="E46" s="53" t="str">
        <f>IFERROR(__xludf.DUMMYFUNCTION("""COMPUTED_VALUE"""),"1000+500+400+200")</f>
        <v>1000+500+400+200</v>
      </c>
      <c r="F46" s="54" t="str">
        <f>IFERROR(__xludf.DUMMYFUNCTION("""COMPUTED_VALUE"""),"7Feb+17Feb+24+25")</f>
        <v>7Feb+17Feb+24+25</v>
      </c>
      <c r="G46" s="32">
        <v>330.0</v>
      </c>
      <c r="H46" s="30">
        <v>25.0</v>
      </c>
      <c r="I46" s="32">
        <v>30.0</v>
      </c>
      <c r="J46" s="48" t="str">
        <f>IFERROR(__xludf.DUMMYFUNCTION("SUM(C46*IMPORTRANGE(""https://docs.google.com/spreadsheets/d/1lwD3A6F0_CU3I2E_oPvBnOzKHK_PmObSat5PPUT-Bc4/edit?gid=214811325#gid=214811325"", ""meal_cost!o1""))"),"#REF!")</f>
        <v>#REF!</v>
      </c>
      <c r="K46" s="49" t="str">
        <f>IFERROR(__xludf.DUMMYFUNCTION("SUM(ARRAYFORMULA(SUM(VALUE(SPLIT(IF(E46&lt;&gt;"""", E46, ""0""), ""+""))))- G46 - H46 - I46- J46)"),"#REF!")</f>
        <v>#REF!</v>
      </c>
      <c r="L46" s="11"/>
      <c r="M46" s="11"/>
      <c r="N46" s="11" t="str">
        <f>IF(D46 &lt; 3000, A46 &amp; " " &amp; B46 &amp; " | diyesen: " &amp; D46 &amp; " | deoa baki: " &amp; (3000 - D46) &amp; " | Balance: " &amp; ROUND(K46, 0), "")</f>
        <v>#REF!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45" t="str">
        <f>IFERROR(__xludf.DUMMYFUNCTION("""COMPUTED_VALUE"""),"Lotifur")</f>
        <v>Lotifur</v>
      </c>
      <c r="B47" s="45">
        <f>IFERROR(__xludf.DUMMYFUNCTION("""COMPUTED_VALUE"""),503.0)</f>
        <v>503</v>
      </c>
      <c r="C47" s="46">
        <f>IFERROR(__xludf.DUMMYFUNCTION("""COMPUTED_VALUE"""),36.0)</f>
        <v>36</v>
      </c>
      <c r="D47" s="34">
        <f>IFERROR(__xludf.DUMMYFUNCTION("IF(E47&lt;&gt;"""", SUM(ArrayFormula(VALUE(SPLIT(E47, ""+"")))), 0)"),1800.0)</f>
        <v>1800</v>
      </c>
      <c r="E47" s="34" t="str">
        <f>IFERROR(__xludf.DUMMYFUNCTION("""COMPUTED_VALUE"""),"1000+500+300")</f>
        <v>1000+500+300</v>
      </c>
      <c r="F47" s="47" t="str">
        <f>IFERROR(__xludf.DUMMYFUNCTION("""COMPUTED_VALUE"""),"4Feb+15Feb+20Feb")</f>
        <v>4Feb+15Feb+20Feb</v>
      </c>
      <c r="G47" s="32">
        <v>330.0</v>
      </c>
      <c r="H47" s="30">
        <v>25.0</v>
      </c>
      <c r="I47" s="32">
        <v>30.0</v>
      </c>
      <c r="J47" s="48" t="str">
        <f>IFERROR(__xludf.DUMMYFUNCTION("SUM(C47*IMPORTRANGE(""https://docs.google.com/spreadsheets/d/1lwD3A6F0_CU3I2E_oPvBnOzKHK_PmObSat5PPUT-Bc4/edit?gid=214811325#gid=214811325"", ""meal_cost!o1""))"),"#REF!")</f>
        <v>#REF!</v>
      </c>
      <c r="K47" s="49" t="str">
        <f>IFERROR(__xludf.DUMMYFUNCTION("SUM(ARRAYFORMULA(SUM(VALUE(SPLIT(IF(E47&lt;&gt;"""", E47, ""0""), ""+""))))- G47 - H47 - I47- J47)"),"#REF!")</f>
        <v>#REF!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45" t="str">
        <f>IFERROR(__xludf.DUMMYFUNCTION("""COMPUTED_VALUE"""),"Kaosar")</f>
        <v>Kaosar</v>
      </c>
      <c r="B48" s="45">
        <f>IFERROR(__xludf.DUMMYFUNCTION("""COMPUTED_VALUE"""),505.0)</f>
        <v>505</v>
      </c>
      <c r="C48" s="46">
        <f>IFERROR(__xludf.DUMMYFUNCTION("""COMPUTED_VALUE"""),68.5)</f>
        <v>68.5</v>
      </c>
      <c r="D48" s="34">
        <f>IFERROR(__xludf.DUMMYFUNCTION("IF(E48&lt;&gt;"""", SUM(ArrayFormula(VALUE(SPLIT(E48, ""+"")))), 0)"),2700.0)</f>
        <v>2700</v>
      </c>
      <c r="E48" s="34" t="str">
        <f>IFERROR(__xludf.DUMMYFUNCTION("""COMPUTED_VALUE"""),"300+500+700+1200")</f>
        <v>300+500+700+1200</v>
      </c>
      <c r="F48" s="47" t="str">
        <f>IFERROR(__xludf.DUMMYFUNCTION("""COMPUTED_VALUE"""),"4Feb+9Feb+25")</f>
        <v>4Feb+9Feb+25</v>
      </c>
      <c r="G48" s="32">
        <v>330.0</v>
      </c>
      <c r="H48" s="30">
        <v>25.0</v>
      </c>
      <c r="I48" s="32">
        <v>30.0</v>
      </c>
      <c r="J48" s="48" t="str">
        <f>IFERROR(__xludf.DUMMYFUNCTION("SUM(C48*IMPORTRANGE(""https://docs.google.com/spreadsheets/d/1lwD3A6F0_CU3I2E_oPvBnOzKHK_PmObSat5PPUT-Bc4/edit?gid=214811325#gid=214811325"", ""meal_cost!o1""))"),"#REF!")</f>
        <v>#REF!</v>
      </c>
      <c r="K48" s="49" t="str">
        <f>IFERROR(__xludf.DUMMYFUNCTION("SUM(ARRAYFORMULA(SUM(VALUE(SPLIT(IF(E48&lt;&gt;"""", E48, ""0""), ""+""))))- G48 - H48 - I48- J48)"),"#REF!")</f>
        <v>#REF!</v>
      </c>
      <c r="L48" s="11"/>
      <c r="M48" s="11"/>
      <c r="N48" s="11" t="str">
        <f t="shared" ref="N48:N64" si="5">IF(D48 &lt; 3000, A48 &amp; " " &amp; B48 &amp; " | diyesen: " &amp; D48 &amp; " | deoa baki: " &amp; (3000 - D48) &amp; " | Balance: " &amp; ROUND(K48, 0), "")</f>
        <v>#REF!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45" t="str">
        <f>IFERROR(__xludf.DUMMYFUNCTION("""COMPUTED_VALUE"""),"Akash")</f>
        <v>Akash</v>
      </c>
      <c r="B49" s="45">
        <f>IFERROR(__xludf.DUMMYFUNCTION("""COMPUTED_VALUE"""),506.0)</f>
        <v>506</v>
      </c>
      <c r="C49" s="46">
        <f>IFERROR(__xludf.DUMMYFUNCTION("""COMPUTED_VALUE"""),59.5)</f>
        <v>59.5</v>
      </c>
      <c r="D49" s="34">
        <f>IFERROR(__xludf.DUMMYFUNCTION("IF(E49&lt;&gt;"""", SUM(ArrayFormula(VALUE(SPLIT(E49, ""+"")))), 0)"),2200.0)</f>
        <v>2200</v>
      </c>
      <c r="E49" s="34" t="str">
        <f>IFERROR(__xludf.DUMMYFUNCTION("""COMPUTED_VALUE"""),"500+1000+700")</f>
        <v>500+1000+700</v>
      </c>
      <c r="F49" s="47" t="str">
        <f>IFERROR(__xludf.DUMMYFUNCTION("""COMPUTED_VALUE"""),"4Feb+11Feb+19Feb")</f>
        <v>4Feb+11Feb+19Feb</v>
      </c>
      <c r="G49" s="32">
        <v>330.0</v>
      </c>
      <c r="H49" s="30">
        <v>25.0</v>
      </c>
      <c r="I49" s="32">
        <v>30.0</v>
      </c>
      <c r="J49" s="48" t="str">
        <f>IFERROR(__xludf.DUMMYFUNCTION("SUM(C49*IMPORTRANGE(""https://docs.google.com/spreadsheets/d/1lwD3A6F0_CU3I2E_oPvBnOzKHK_PmObSat5PPUT-Bc4/edit?gid=214811325#gid=214811325"", ""meal_cost!o1""))"),"#REF!")</f>
        <v>#REF!</v>
      </c>
      <c r="K49" s="49" t="str">
        <f>IFERROR(__xludf.DUMMYFUNCTION("SUM(ARRAYFORMULA(SUM(VALUE(SPLIT(IF(E49&lt;&gt;"""", E49, ""0""), ""+""))))- G49 - H49 - I49- J49)"),"#REF!")</f>
        <v>#REF!</v>
      </c>
      <c r="L49" s="11"/>
      <c r="M49" s="11"/>
      <c r="N49" s="11" t="str">
        <f t="shared" si="5"/>
        <v>#REF!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45" t="str">
        <f>IFERROR(__xludf.DUMMYFUNCTION("""COMPUTED_VALUE"""),"Jahid")</f>
        <v>Jahid</v>
      </c>
      <c r="B50" s="45">
        <f>IFERROR(__xludf.DUMMYFUNCTION("""COMPUTED_VALUE"""),506.0)</f>
        <v>506</v>
      </c>
      <c r="C50" s="46">
        <f>IFERROR(__xludf.DUMMYFUNCTION("""COMPUTED_VALUE"""),69.5)</f>
        <v>69.5</v>
      </c>
      <c r="D50" s="34">
        <f>IFERROR(__xludf.DUMMYFUNCTION("IF(E50&lt;&gt;"""", SUM(ArrayFormula(VALUE(SPLIT(E50, ""+"")))), 0)"),2845.0)</f>
        <v>2845</v>
      </c>
      <c r="E50" s="34" t="str">
        <f>IFERROR(__xludf.DUMMYFUNCTION("""COMPUTED_VALUE"""),"745+500+600+500+500")</f>
        <v>745+500+600+500+500</v>
      </c>
      <c r="F50" s="47" t="str">
        <f>IFERROR(__xludf.DUMMYFUNCTION("""COMPUTED_VALUE"""),"4Feb+7Feb+23+26")</f>
        <v>4Feb+7Feb+23+26</v>
      </c>
      <c r="G50" s="32">
        <v>330.0</v>
      </c>
      <c r="H50" s="30">
        <v>25.0</v>
      </c>
      <c r="I50" s="32">
        <v>30.0</v>
      </c>
      <c r="J50" s="48" t="str">
        <f>IFERROR(__xludf.DUMMYFUNCTION("SUM(C50*IMPORTRANGE(""https://docs.google.com/spreadsheets/d/1lwD3A6F0_CU3I2E_oPvBnOzKHK_PmObSat5PPUT-Bc4/edit?gid=214811325#gid=214811325"", ""meal_cost!o1""))"),"#REF!")</f>
        <v>#REF!</v>
      </c>
      <c r="K50" s="49" t="str">
        <f>IFERROR(__xludf.DUMMYFUNCTION("SUM(ARRAYFORMULA(SUM(VALUE(SPLIT(IF(E50&lt;&gt;"""", E50, ""0""), ""+""))))- G50 - H50 - I50- J50)"),"#REF!")</f>
        <v>#REF!</v>
      </c>
      <c r="L50" s="11"/>
      <c r="M50" s="11"/>
      <c r="N50" s="11" t="str">
        <f t="shared" si="5"/>
        <v>#REF!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45" t="str">
        <f>IFERROR(__xludf.DUMMYFUNCTION("""COMPUTED_VALUE"""),"Emon Hosen")</f>
        <v>Emon Hosen</v>
      </c>
      <c r="B51" s="45">
        <f>IFERROR(__xludf.DUMMYFUNCTION("""COMPUTED_VALUE"""),507.0)</f>
        <v>507</v>
      </c>
      <c r="C51" s="46">
        <f>IFERROR(__xludf.DUMMYFUNCTION("""COMPUTED_VALUE"""),74.0)</f>
        <v>74</v>
      </c>
      <c r="D51" s="34">
        <f>IFERROR(__xludf.DUMMYFUNCTION("IF(E51&lt;&gt;"""", SUM(ArrayFormula(VALUE(SPLIT(E51, ""+"")))), 0)"),3300.0)</f>
        <v>3300</v>
      </c>
      <c r="E51" s="34" t="str">
        <f>IFERROR(__xludf.DUMMYFUNCTION("""COMPUTED_VALUE"""),"600+1000+1000+400+300")</f>
        <v>600+1000+1000+400+300</v>
      </c>
      <c r="F51" s="47" t="str">
        <f>IFERROR(__xludf.DUMMYFUNCTION("""COMPUTED_VALUE"""),"4Feb+8Feb+14Feb+18Feb+20Feb+26")</f>
        <v>4Feb+8Feb+14Feb+18Feb+20Feb+26</v>
      </c>
      <c r="G51" s="32">
        <v>330.0</v>
      </c>
      <c r="H51" s="30">
        <v>25.0</v>
      </c>
      <c r="I51" s="32">
        <v>30.0</v>
      </c>
      <c r="J51" s="48" t="str">
        <f>IFERROR(__xludf.DUMMYFUNCTION("SUM(C51*IMPORTRANGE(""https://docs.google.com/spreadsheets/d/1lwD3A6F0_CU3I2E_oPvBnOzKHK_PmObSat5PPUT-Bc4/edit?gid=214811325#gid=214811325"", ""meal_cost!o1""))"),"#REF!")</f>
        <v>#REF!</v>
      </c>
      <c r="K51" s="49" t="str">
        <f>IFERROR(__xludf.DUMMYFUNCTION("SUM(ARRAYFORMULA(SUM(VALUE(SPLIT(IF(E51&lt;&gt;"""", E51, ""0""), ""+""))))- G51 - H51 - I51- J51)"),"#REF!")</f>
        <v>#REF!</v>
      </c>
      <c r="L51" s="11"/>
      <c r="M51" s="11"/>
      <c r="N51" s="11" t="str">
        <f t="shared" si="5"/>
        <v/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55" t="str">
        <f>IFERROR(__xludf.DUMMYFUNCTION("""COMPUTED_VALUE"""),"Ashik")</f>
        <v>Ashik</v>
      </c>
      <c r="B52" s="45">
        <f>IFERROR(__xludf.DUMMYFUNCTION("""COMPUTED_VALUE"""),507.0)</f>
        <v>507</v>
      </c>
      <c r="C52" s="46">
        <f>IFERROR(__xludf.DUMMYFUNCTION("""COMPUTED_VALUE"""),69.5)</f>
        <v>69.5</v>
      </c>
      <c r="D52" s="34">
        <f>IFERROR(__xludf.DUMMYFUNCTION("IF(E52&lt;&gt;"""", SUM(ArrayFormula(VALUE(SPLIT(E52, ""+"")))), 0)"),3000.0)</f>
        <v>3000</v>
      </c>
      <c r="E52" s="34" t="str">
        <f>IFERROR(__xludf.DUMMYFUNCTION("""COMPUTED_VALUE"""),"1000+1000+1000")</f>
        <v>1000+1000+1000</v>
      </c>
      <c r="F52" s="47" t="str">
        <f>IFERROR(__xludf.DUMMYFUNCTION("""COMPUTED_VALUE"""),"4Feb+9Feb+23Feb")</f>
        <v>4Feb+9Feb+23Feb</v>
      </c>
      <c r="G52" s="32">
        <v>330.0</v>
      </c>
      <c r="H52" s="30">
        <v>25.0</v>
      </c>
      <c r="I52" s="32">
        <v>30.0</v>
      </c>
      <c r="J52" s="48" t="str">
        <f>IFERROR(__xludf.DUMMYFUNCTION("SUM(C52*IMPORTRANGE(""https://docs.google.com/spreadsheets/d/1lwD3A6F0_CU3I2E_oPvBnOzKHK_PmObSat5PPUT-Bc4/edit?gid=214811325#gid=214811325"", ""meal_cost!o1""))"),"#REF!")</f>
        <v>#REF!</v>
      </c>
      <c r="K52" s="49" t="str">
        <f>IFERROR(__xludf.DUMMYFUNCTION("SUM(ARRAYFORMULA(SUM(VALUE(SPLIT(IF(E52&lt;&gt;"""", E52, ""0""), ""+""))))- G52 - H52 - I52- J52)"),"#REF!")</f>
        <v>#REF!</v>
      </c>
      <c r="L52" s="11"/>
      <c r="M52" s="11"/>
      <c r="N52" s="11" t="str">
        <f t="shared" si="5"/>
        <v/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55" t="str">
        <f>IFERROR(__xludf.DUMMYFUNCTION("""COMPUTED_VALUE"""),"Abdul Jobber")</f>
        <v>Abdul Jobber</v>
      </c>
      <c r="B53" s="45">
        <f>IFERROR(__xludf.DUMMYFUNCTION("""COMPUTED_VALUE"""),508.0)</f>
        <v>508</v>
      </c>
      <c r="C53" s="46">
        <f>IFERROR(__xludf.DUMMYFUNCTION("""COMPUTED_VALUE"""),69.5)</f>
        <v>69.5</v>
      </c>
      <c r="D53" s="34">
        <f>IFERROR(__xludf.DUMMYFUNCTION("IF(E53&lt;&gt;"""", SUM(ArrayFormula(VALUE(SPLIT(E53, ""+"")))), 0)"),3000.0)</f>
        <v>3000</v>
      </c>
      <c r="E53" s="34" t="str">
        <f>IFERROR(__xludf.DUMMYFUNCTION("""COMPUTED_VALUE"""),"1000+1000+1000")</f>
        <v>1000+1000+1000</v>
      </c>
      <c r="F53" s="47" t="str">
        <f>IFERROR(__xludf.DUMMYFUNCTION("""COMPUTED_VALUE"""),"4Feb+8Feb+23")</f>
        <v>4Feb+8Feb+23</v>
      </c>
      <c r="G53" s="32">
        <v>330.0</v>
      </c>
      <c r="H53" s="30">
        <v>25.0</v>
      </c>
      <c r="I53" s="32">
        <v>30.0</v>
      </c>
      <c r="J53" s="48" t="str">
        <f>IFERROR(__xludf.DUMMYFUNCTION("SUM(C53*IMPORTRANGE(""https://docs.google.com/spreadsheets/d/1lwD3A6F0_CU3I2E_oPvBnOzKHK_PmObSat5PPUT-Bc4/edit?gid=214811325#gid=214811325"", ""meal_cost!o1""))"),"#REF!")</f>
        <v>#REF!</v>
      </c>
      <c r="K53" s="49" t="str">
        <f>IFERROR(__xludf.DUMMYFUNCTION("SUM(ARRAYFORMULA(SUM(VALUE(SPLIT(IF(E53&lt;&gt;"""", E53, ""0""), ""+""))))- G53 - H53 - I53- J53)"),"#REF!")</f>
        <v>#REF!</v>
      </c>
      <c r="L53" s="11"/>
      <c r="M53" s="11"/>
      <c r="N53" s="11" t="str">
        <f t="shared" si="5"/>
        <v/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45" t="str">
        <f>IFERROR(__xludf.DUMMYFUNCTION("""COMPUTED_VALUE"""),"Maruf")</f>
        <v>Maruf</v>
      </c>
      <c r="B54" s="45">
        <f>IFERROR(__xludf.DUMMYFUNCTION("""COMPUTED_VALUE"""),602.0)</f>
        <v>602</v>
      </c>
      <c r="C54" s="46">
        <f>IFERROR(__xludf.DUMMYFUNCTION("""COMPUTED_VALUE"""),67.5)</f>
        <v>67.5</v>
      </c>
      <c r="D54" s="34">
        <f>IFERROR(__xludf.DUMMYFUNCTION("IF(E54&lt;&gt;"""", SUM(ArrayFormula(VALUE(SPLIT(E54, ""+"")))), 0)"),3400.0)</f>
        <v>3400</v>
      </c>
      <c r="E54" s="34" t="str">
        <f>IFERROR(__xludf.DUMMYFUNCTION("""COMPUTED_VALUE"""),"1500+900+1000")</f>
        <v>1500+900+1000</v>
      </c>
      <c r="F54" s="47" t="str">
        <f>IFERROR(__xludf.DUMMYFUNCTION("""COMPUTED_VALUE"""),"4Feb+13Feb")</f>
        <v>4Feb+13Feb</v>
      </c>
      <c r="G54" s="32">
        <v>330.0</v>
      </c>
      <c r="H54" s="30">
        <v>25.0</v>
      </c>
      <c r="I54" s="32">
        <v>30.0</v>
      </c>
      <c r="J54" s="48" t="str">
        <f>IFERROR(__xludf.DUMMYFUNCTION("SUM(C54*IMPORTRANGE(""https://docs.google.com/spreadsheets/d/1lwD3A6F0_CU3I2E_oPvBnOzKHK_PmObSat5PPUT-Bc4/edit?gid=214811325#gid=214811325"", ""meal_cost!o1""))"),"#REF!")</f>
        <v>#REF!</v>
      </c>
      <c r="K54" s="49" t="str">
        <f>IFERROR(__xludf.DUMMYFUNCTION("SUM(ARRAYFORMULA(SUM(VALUE(SPLIT(IF(E54&lt;&gt;"""", E54, ""0""), ""+""))))- G54 - H54 - I54- J54)"),"#REF!")</f>
        <v>#REF!</v>
      </c>
      <c r="L54" s="11"/>
      <c r="M54" s="11"/>
      <c r="N54" s="11" t="str">
        <f t="shared" si="5"/>
        <v/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45" t="str">
        <f>IFERROR(__xludf.DUMMYFUNCTION("""COMPUTED_VALUE"""),"Alamin")</f>
        <v>Alamin</v>
      </c>
      <c r="B55" s="45">
        <f>IFERROR(__xludf.DUMMYFUNCTION("""COMPUTED_VALUE"""),602.0)</f>
        <v>602</v>
      </c>
      <c r="C55" s="46">
        <f>IFERROR(__xludf.DUMMYFUNCTION("""COMPUTED_VALUE"""),60.0)</f>
        <v>60</v>
      </c>
      <c r="D55" s="34">
        <f>IFERROR(__xludf.DUMMYFUNCTION("IF(E55&lt;&gt;"""", SUM(ArrayFormula(VALUE(SPLIT(E55, ""+"")))), 0)"),2500.0)</f>
        <v>2500</v>
      </c>
      <c r="E55" s="53" t="str">
        <f>IFERROR(__xludf.DUMMYFUNCTION("""COMPUTED_VALUE"""),"1500+1000")</f>
        <v>1500+1000</v>
      </c>
      <c r="F55" s="54" t="str">
        <f>IFERROR(__xludf.DUMMYFUNCTION("""COMPUTED_VALUE"""),"4Feb+18Feb")</f>
        <v>4Feb+18Feb</v>
      </c>
      <c r="G55" s="32">
        <v>330.0</v>
      </c>
      <c r="H55" s="30">
        <v>25.0</v>
      </c>
      <c r="I55" s="32">
        <v>30.0</v>
      </c>
      <c r="J55" s="48" t="str">
        <f>IFERROR(__xludf.DUMMYFUNCTION("SUM(C55*IMPORTRANGE(""https://docs.google.com/spreadsheets/d/1lwD3A6F0_CU3I2E_oPvBnOzKHK_PmObSat5PPUT-Bc4/edit?gid=214811325#gid=214811325"", ""meal_cost!o1""))"),"#REF!")</f>
        <v>#REF!</v>
      </c>
      <c r="K55" s="49" t="str">
        <f>IFERROR(__xludf.DUMMYFUNCTION("SUM(ARRAYFORMULA(SUM(VALUE(SPLIT(IF(E55&lt;&gt;"""", E55, ""0""), ""+""))))- G55 - H55 - I55- J55)"),"#REF!")</f>
        <v>#REF!</v>
      </c>
      <c r="L55" s="11"/>
      <c r="M55" s="11"/>
      <c r="N55" s="11" t="str">
        <f t="shared" si="5"/>
        <v>#REF!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 t="str">
        <f>IFERROR(__xludf.DUMMYFUNCTION("""COMPUTED_VALUE"""),"Pabel")</f>
        <v>Pabel</v>
      </c>
      <c r="B56" s="11">
        <f>IFERROR(__xludf.DUMMYFUNCTION("""COMPUTED_VALUE"""),603.0)</f>
        <v>603</v>
      </c>
      <c r="C56" s="11">
        <f>IFERROR(__xludf.DUMMYFUNCTION("""COMPUTED_VALUE"""),38.5)</f>
        <v>38.5</v>
      </c>
      <c r="D56" s="34">
        <f>IFERROR(__xludf.DUMMYFUNCTION("IF(E56&lt;&gt;"""", SUM(ArrayFormula(VALUE(SPLIT(E56, ""+"")))), 0)"),2000.0)</f>
        <v>2000</v>
      </c>
      <c r="E56" s="65" t="str">
        <f>IFERROR(__xludf.DUMMYFUNCTION("""COMPUTED_VALUE"""),"500+500+1000")</f>
        <v>500+500+1000</v>
      </c>
      <c r="F56" s="4" t="str">
        <f>IFERROR(__xludf.DUMMYFUNCTION("""COMPUTED_VALUE"""),"4Feb+9Feb+26")</f>
        <v>4Feb+9Feb+26</v>
      </c>
      <c r="G56" s="32">
        <v>330.0</v>
      </c>
      <c r="H56" s="30">
        <v>25.0</v>
      </c>
      <c r="I56" s="32">
        <v>30.0</v>
      </c>
      <c r="J56" s="48" t="str">
        <f>IFERROR(__xludf.DUMMYFUNCTION("SUM(C56*IMPORTRANGE(""https://docs.google.com/spreadsheets/d/1lwD3A6F0_CU3I2E_oPvBnOzKHK_PmObSat5PPUT-Bc4/edit?gid=214811325#gid=214811325"", ""meal_cost!o1""))"),"#REF!")</f>
        <v>#REF!</v>
      </c>
      <c r="K56" s="49" t="str">
        <f>IFERROR(__xludf.DUMMYFUNCTION("SUM(ARRAYFORMULA(SUM(VALUE(SPLIT(IF(E56&lt;&gt;"""", E56, ""0""), ""+""))))- G56 - H56 - I56- J56)"),"#REF!")</f>
        <v>#REF!</v>
      </c>
      <c r="L56" s="11"/>
      <c r="M56" s="11"/>
      <c r="N56" s="11" t="str">
        <f t="shared" si="5"/>
        <v>#REF!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 t="str">
        <f>IFERROR(__xludf.DUMMYFUNCTION("""COMPUTED_VALUE"""),"Opurbo")</f>
        <v>Opurbo</v>
      </c>
      <c r="B57" s="11">
        <f>IFERROR(__xludf.DUMMYFUNCTION("""COMPUTED_VALUE"""),604.0)</f>
        <v>604</v>
      </c>
      <c r="C57" s="11">
        <f>IFERROR(__xludf.DUMMYFUNCTION("""COMPUTED_VALUE"""),46.0)</f>
        <v>46</v>
      </c>
      <c r="D57" s="34">
        <f>IFERROR(__xludf.DUMMYFUNCTION("IF(E57&lt;&gt;"""", SUM(ArrayFormula(VALUE(SPLIT(E57, ""+"")))), 0)"),2900.0)</f>
        <v>2900</v>
      </c>
      <c r="E57" s="65" t="str">
        <f>IFERROR(__xludf.DUMMYFUNCTION("""COMPUTED_VALUE"""),"1400+1500")</f>
        <v>1400+1500</v>
      </c>
      <c r="F57" s="4" t="str">
        <f>IFERROR(__xludf.DUMMYFUNCTION("""COMPUTED_VALUE"""),"4Feb+10Feb")</f>
        <v>4Feb+10Feb</v>
      </c>
      <c r="G57" s="32">
        <v>330.0</v>
      </c>
      <c r="H57" s="30">
        <v>25.0</v>
      </c>
      <c r="I57" s="32">
        <v>30.0</v>
      </c>
      <c r="J57" s="48" t="str">
        <f>IFERROR(__xludf.DUMMYFUNCTION("SUM(C57*IMPORTRANGE(""https://docs.google.com/spreadsheets/d/1lwD3A6F0_CU3I2E_oPvBnOzKHK_PmObSat5PPUT-Bc4/edit?gid=214811325#gid=214811325"", ""meal_cost!o1""))"),"#REF!")</f>
        <v>#REF!</v>
      </c>
      <c r="K57" s="49" t="str">
        <f>IFERROR(__xludf.DUMMYFUNCTION("SUM(ARRAYFORMULA(SUM(VALUE(SPLIT(IF(E57&lt;&gt;"""", E57, ""0""), ""+""))))- G57 - H57 - I57- J57)"),"#REF!")</f>
        <v>#REF!</v>
      </c>
      <c r="L57" s="11"/>
      <c r="M57" s="11"/>
      <c r="N57" s="11" t="str">
        <f t="shared" si="5"/>
        <v>#REF!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 t="str">
        <f>IFERROR(__xludf.DUMMYFUNCTION("""COMPUTED_VALUE"""),"Suraj")</f>
        <v>Suraj</v>
      </c>
      <c r="B58" s="11">
        <f>IFERROR(__xludf.DUMMYFUNCTION("""COMPUTED_VALUE"""),604.0)</f>
        <v>604</v>
      </c>
      <c r="C58" s="11">
        <f>IFERROR(__xludf.DUMMYFUNCTION("""COMPUTED_VALUE"""),58.5)</f>
        <v>58.5</v>
      </c>
      <c r="D58" s="34">
        <f>IFERROR(__xludf.DUMMYFUNCTION("IF(E58&lt;&gt;"""", SUM(ArrayFormula(VALUE(SPLIT(E58, ""+"")))), 0)"),3000.0)</f>
        <v>3000</v>
      </c>
      <c r="E58" s="65" t="str">
        <f>IFERROR(__xludf.DUMMYFUNCTION("""COMPUTED_VALUE"""),"2500+500")</f>
        <v>2500+500</v>
      </c>
      <c r="F58" s="4" t="str">
        <f>IFERROR(__xludf.DUMMYFUNCTION("""COMPUTED_VALUE"""),"4Feb+23Feb")</f>
        <v>4Feb+23Feb</v>
      </c>
      <c r="G58" s="32">
        <v>330.0</v>
      </c>
      <c r="H58" s="30">
        <v>25.0</v>
      </c>
      <c r="I58" s="32">
        <v>30.0</v>
      </c>
      <c r="J58" s="48" t="str">
        <f>IFERROR(__xludf.DUMMYFUNCTION("SUM(C58*IMPORTRANGE(""https://docs.google.com/spreadsheets/d/1lwD3A6F0_CU3I2E_oPvBnOzKHK_PmObSat5PPUT-Bc4/edit?gid=214811325#gid=214811325"", ""meal_cost!o1""))"),"#REF!")</f>
        <v>#REF!</v>
      </c>
      <c r="K58" s="49" t="str">
        <f>IFERROR(__xludf.DUMMYFUNCTION("SUM(ARRAYFORMULA(SUM(VALUE(SPLIT(IF(E58&lt;&gt;"""", E58, ""0""), ""+""))))- G58 - H58 - I58- J58)"),"#REF!")</f>
        <v>#REF!</v>
      </c>
      <c r="L58" s="11"/>
      <c r="M58" s="11"/>
      <c r="N58" s="11" t="str">
        <f t="shared" si="5"/>
        <v/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 t="str">
        <f>IFERROR(__xludf.DUMMYFUNCTION("""COMPUTED_VALUE"""),"Maruf")</f>
        <v>Maruf</v>
      </c>
      <c r="B59" s="11">
        <f>IFERROR(__xludf.DUMMYFUNCTION("""COMPUTED_VALUE"""),606.0)</f>
        <v>606</v>
      </c>
      <c r="C59" s="11">
        <f>IFERROR(__xludf.DUMMYFUNCTION("""COMPUTED_VALUE"""),49.5)</f>
        <v>49.5</v>
      </c>
      <c r="D59" s="34">
        <f>IFERROR(__xludf.DUMMYFUNCTION("IF(E59&lt;&gt;"""", SUM(ArrayFormula(VALUE(SPLIT(E59, ""+"")))), 0)"),3300.0)</f>
        <v>3300</v>
      </c>
      <c r="E59" s="65" t="str">
        <f>IFERROR(__xludf.DUMMYFUNCTION("""COMPUTED_VALUE"""),"2000+1300")</f>
        <v>2000+1300</v>
      </c>
      <c r="F59" s="4" t="str">
        <f>IFERROR(__xludf.DUMMYFUNCTION("""COMPUTED_VALUE"""),"4Feb+10Feb+20Feb")</f>
        <v>4Feb+10Feb+20Feb</v>
      </c>
      <c r="G59" s="32">
        <v>330.0</v>
      </c>
      <c r="H59" s="30">
        <v>25.0</v>
      </c>
      <c r="I59" s="32">
        <v>30.0</v>
      </c>
      <c r="J59" s="48" t="str">
        <f>IFERROR(__xludf.DUMMYFUNCTION("SUM(C59*IMPORTRANGE(""https://docs.google.com/spreadsheets/d/1lwD3A6F0_CU3I2E_oPvBnOzKHK_PmObSat5PPUT-Bc4/edit?gid=214811325#gid=214811325"", ""meal_cost!o1""))"),"#REF!")</f>
        <v>#REF!</v>
      </c>
      <c r="K59" s="49" t="str">
        <f>IFERROR(__xludf.DUMMYFUNCTION("SUM(ARRAYFORMULA(SUM(VALUE(SPLIT(IF(E59&lt;&gt;"""", E59, ""0""), ""+""))))- G59 - H59 - I59- J59)"),"#REF!")</f>
        <v>#REF!</v>
      </c>
      <c r="L59" s="11"/>
      <c r="M59" s="11"/>
      <c r="N59" s="11" t="str">
        <f t="shared" si="5"/>
        <v/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 t="str">
        <f>IFERROR(__xludf.DUMMYFUNCTION("""COMPUTED_VALUE"""),"Nahid")</f>
        <v>Nahid</v>
      </c>
      <c r="B60" s="11">
        <f>IFERROR(__xludf.DUMMYFUNCTION("""COMPUTED_VALUE"""),606.0)</f>
        <v>606</v>
      </c>
      <c r="C60" s="11">
        <f>IFERROR(__xludf.DUMMYFUNCTION("""COMPUTED_VALUE"""),45.5)</f>
        <v>45.5</v>
      </c>
      <c r="D60" s="34">
        <f>IFERROR(__xludf.DUMMYFUNCTION("IF(E60&lt;&gt;"""", SUM(ArrayFormula(VALUE(SPLIT(E60, ""+"")))), 0)"),3000.0)</f>
        <v>3000</v>
      </c>
      <c r="E60" s="65" t="str">
        <f>IFERROR(__xludf.DUMMYFUNCTION("""COMPUTED_VALUE"""),"2000+1000")</f>
        <v>2000+1000</v>
      </c>
      <c r="F60" s="4" t="str">
        <f>IFERROR(__xludf.DUMMYFUNCTION("""COMPUTED_VALUE"""),"4Feb")</f>
        <v>4Feb</v>
      </c>
      <c r="G60" s="32">
        <v>330.0</v>
      </c>
      <c r="H60" s="30">
        <v>25.0</v>
      </c>
      <c r="I60" s="32">
        <v>30.0</v>
      </c>
      <c r="J60" s="48" t="str">
        <f>IFERROR(__xludf.DUMMYFUNCTION("SUM(C60*IMPORTRANGE(""https://docs.google.com/spreadsheets/d/1lwD3A6F0_CU3I2E_oPvBnOzKHK_PmObSat5PPUT-Bc4/edit?gid=214811325#gid=214811325"", ""meal_cost!o1""))"),"#REF!")</f>
        <v>#REF!</v>
      </c>
      <c r="K60" s="49" t="str">
        <f>IFERROR(__xludf.DUMMYFUNCTION("SUM(ARRAYFORMULA(SUM(VALUE(SPLIT(IF(E60&lt;&gt;"""", E60, ""0""), ""+""))))- G60 - H60 - I60- J60)"),"#REF!")</f>
        <v>#REF!</v>
      </c>
      <c r="L60" s="11"/>
      <c r="M60" s="11"/>
      <c r="N60" s="11" t="str">
        <f t="shared" si="5"/>
        <v/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 t="str">
        <f>IFERROR(__xludf.DUMMYFUNCTION("""COMPUTED_VALUE"""),"Ibrahim")</f>
        <v>Ibrahim</v>
      </c>
      <c r="B61" s="11">
        <f>IFERROR(__xludf.DUMMYFUNCTION("""COMPUTED_VALUE"""),606.0)</f>
        <v>606</v>
      </c>
      <c r="C61" s="11">
        <f>IFERROR(__xludf.DUMMYFUNCTION("""COMPUTED_VALUE"""),21.5)</f>
        <v>21.5</v>
      </c>
      <c r="D61" s="34">
        <f>IFERROR(__xludf.DUMMYFUNCTION("IF(E61&lt;&gt;"""", SUM(ArrayFormula(VALUE(SPLIT(E61, ""+"")))), 0)"),1400.0)</f>
        <v>1400</v>
      </c>
      <c r="E61" s="65" t="str">
        <f>IFERROR(__xludf.DUMMYFUNCTION("""COMPUTED_VALUE"""),"500+500+400")</f>
        <v>500+500+400</v>
      </c>
      <c r="F61" s="4" t="str">
        <f>IFERROR(__xludf.DUMMYFUNCTION("""COMPUTED_VALUE"""),"11Feb+22Feb+25")</f>
        <v>11Feb+22Feb+25</v>
      </c>
      <c r="G61" s="32">
        <v>330.0</v>
      </c>
      <c r="H61" s="30">
        <v>25.0</v>
      </c>
      <c r="I61" s="32">
        <v>30.0</v>
      </c>
      <c r="J61" s="48" t="str">
        <f>IFERROR(__xludf.DUMMYFUNCTION("SUM(C61*IMPORTRANGE(""https://docs.google.com/spreadsheets/d/1lwD3A6F0_CU3I2E_oPvBnOzKHK_PmObSat5PPUT-Bc4/edit?gid=214811325#gid=214811325"", ""meal_cost!o1""))"),"#REF!")</f>
        <v>#REF!</v>
      </c>
      <c r="K61" s="49" t="str">
        <f>IFERROR(__xludf.DUMMYFUNCTION("SUM(ARRAYFORMULA(SUM(VALUE(SPLIT(IF(E61&lt;&gt;"""", E61, ""0""), ""+""))))- G61 - H61 - I61- J61)"),"#REF!")</f>
        <v>#REF!</v>
      </c>
      <c r="L61" s="11"/>
      <c r="M61" s="11"/>
      <c r="N61" s="11" t="str">
        <f t="shared" si="5"/>
        <v>#REF!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 t="str">
        <f>IFERROR(__xludf.DUMMYFUNCTION("""COMPUTED_VALUE"""),"Ajij")</f>
        <v>Ajij</v>
      </c>
      <c r="B62" s="11">
        <f>IFERROR(__xludf.DUMMYFUNCTION("""COMPUTED_VALUE"""),607.0)</f>
        <v>607</v>
      </c>
      <c r="C62" s="11">
        <f>IFERROR(__xludf.DUMMYFUNCTION("""COMPUTED_VALUE"""),69.0)</f>
        <v>69</v>
      </c>
      <c r="D62" s="34">
        <f>IFERROR(__xludf.DUMMYFUNCTION("IF(E62&lt;&gt;"""", SUM(ArrayFormula(VALUE(SPLIT(E62, ""+"")))), 0)"),3000.0)</f>
        <v>3000</v>
      </c>
      <c r="E62" s="65" t="str">
        <f>IFERROR(__xludf.DUMMYFUNCTION("""COMPUTED_VALUE"""),"700+1000+500+800")</f>
        <v>700+1000+500+800</v>
      </c>
      <c r="F62" s="4" t="str">
        <f>IFERROR(__xludf.DUMMYFUNCTION("""COMPUTED_VALUE"""),"4Feb+13Feb+23Feb")</f>
        <v>4Feb+13Feb+23Feb</v>
      </c>
      <c r="G62" s="32">
        <v>330.0</v>
      </c>
      <c r="H62" s="30">
        <v>25.0</v>
      </c>
      <c r="I62" s="32">
        <v>30.0</v>
      </c>
      <c r="J62" s="48" t="str">
        <f>IFERROR(__xludf.DUMMYFUNCTION("SUM(C62*IMPORTRANGE(""https://docs.google.com/spreadsheets/d/1lwD3A6F0_CU3I2E_oPvBnOzKHK_PmObSat5PPUT-Bc4/edit?gid=214811325#gid=214811325"", ""meal_cost!o1""))"),"#REF!")</f>
        <v>#REF!</v>
      </c>
      <c r="K62" s="49" t="str">
        <f>IFERROR(__xludf.DUMMYFUNCTION("SUM(ARRAYFORMULA(SUM(VALUE(SPLIT(IF(E62&lt;&gt;"""", E62, ""0""), ""+""))))- G62 - H62 - I62- J62)"),"#REF!")</f>
        <v>#REF!</v>
      </c>
      <c r="L62" s="11"/>
      <c r="M62" s="11"/>
      <c r="N62" s="11" t="str">
        <f t="shared" si="5"/>
        <v/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 t="str">
        <f>IFERROR(__xludf.DUMMYFUNCTION("""COMPUTED_VALUE"""),"Riadul")</f>
        <v>Riadul</v>
      </c>
      <c r="B63" s="11">
        <f>IFERROR(__xludf.DUMMYFUNCTION("""COMPUTED_VALUE"""),607.0)</f>
        <v>607</v>
      </c>
      <c r="C63" s="11">
        <f>IFERROR(__xludf.DUMMYFUNCTION("""COMPUTED_VALUE"""),49.0)</f>
        <v>49</v>
      </c>
      <c r="D63" s="34">
        <f>IFERROR(__xludf.DUMMYFUNCTION("IF(E63&lt;&gt;"""", SUM(ArrayFormula(VALUE(SPLIT(E63, ""+"")))), 0)"),2700.0)</f>
        <v>2700</v>
      </c>
      <c r="E63" s="65" t="str">
        <f>IFERROR(__xludf.DUMMYFUNCTION("""COMPUTED_VALUE"""),"700+2000")</f>
        <v>700+2000</v>
      </c>
      <c r="F63" s="4" t="str">
        <f>IFERROR(__xludf.DUMMYFUNCTION("""COMPUTED_VALUE"""),"4Feb+7Feb")</f>
        <v>4Feb+7Feb</v>
      </c>
      <c r="G63" s="32">
        <v>330.0</v>
      </c>
      <c r="H63" s="30">
        <v>25.0</v>
      </c>
      <c r="I63" s="32">
        <v>30.0</v>
      </c>
      <c r="J63" s="48" t="str">
        <f>IFERROR(__xludf.DUMMYFUNCTION("SUM(C63*IMPORTRANGE(""https://docs.google.com/spreadsheets/d/1lwD3A6F0_CU3I2E_oPvBnOzKHK_PmObSat5PPUT-Bc4/edit?gid=214811325#gid=214811325"", ""meal_cost!o1""))"),"#REF!")</f>
        <v>#REF!</v>
      </c>
      <c r="K63" s="49" t="str">
        <f>IFERROR(__xludf.DUMMYFUNCTION("SUM(ARRAYFORMULA(SUM(VALUE(SPLIT(IF(E63&lt;&gt;"""", E63, ""0""), ""+""))))- G63 - H63 - I63- J63)"),"#REF!")</f>
        <v>#REF!</v>
      </c>
      <c r="L63" s="11"/>
      <c r="M63" s="11"/>
      <c r="N63" s="11" t="str">
        <f t="shared" si="5"/>
        <v>#REF!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 t="str">
        <f>IFERROR(__xludf.DUMMYFUNCTION("""COMPUTED_VALUE"""),"Shahin Alom")</f>
        <v>Shahin Alom</v>
      </c>
      <c r="B64" s="11">
        <f>IFERROR(__xludf.DUMMYFUNCTION("""COMPUTED_VALUE"""),607.0)</f>
        <v>607</v>
      </c>
      <c r="C64" s="11">
        <f>IFERROR(__xludf.DUMMYFUNCTION("""COMPUTED_VALUE"""),81.5)</f>
        <v>81.5</v>
      </c>
      <c r="D64" s="34">
        <f>IFERROR(__xludf.DUMMYFUNCTION("IF(E64&lt;&gt;"""", SUM(ArrayFormula(VALUE(SPLIT(E64, ""+"")))), 0)"),3300.0)</f>
        <v>3300</v>
      </c>
      <c r="E64" s="65" t="str">
        <f>IFERROR(__xludf.DUMMYFUNCTION("""COMPUTED_VALUE"""),"700+1000+1000+600")</f>
        <v>700+1000+1000+600</v>
      </c>
      <c r="F64" s="4" t="str">
        <f>IFERROR(__xludf.DUMMYFUNCTION("""COMPUTED_VALUE"""),"4Feb+9Feb+25")</f>
        <v>4Feb+9Feb+25</v>
      </c>
      <c r="G64" s="32">
        <v>330.0</v>
      </c>
      <c r="H64" s="30">
        <v>25.0</v>
      </c>
      <c r="I64" s="32">
        <v>30.0</v>
      </c>
      <c r="J64" s="48" t="str">
        <f>IFERROR(__xludf.DUMMYFUNCTION("SUM(C64*IMPORTRANGE(""https://docs.google.com/spreadsheets/d/1lwD3A6F0_CU3I2E_oPvBnOzKHK_PmObSat5PPUT-Bc4/edit?gid=214811325#gid=214811325"", ""meal_cost!o1""))"),"#REF!")</f>
        <v>#REF!</v>
      </c>
      <c r="K64" s="49" t="str">
        <f>IFERROR(__xludf.DUMMYFUNCTION("SUM(ARRAYFORMULA(SUM(VALUE(SPLIT(IF(E64&lt;&gt;"""", E64, ""0""), ""+""))))- G64 - H64 - I64- J64)"),"#REF!")</f>
        <v>#REF!</v>
      </c>
      <c r="L64" s="11"/>
      <c r="M64" s="11"/>
      <c r="N64" s="11" t="str">
        <f t="shared" si="5"/>
        <v/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66"/>
      <c r="B65" s="66"/>
      <c r="C65" s="66">
        <f>IFERROR(__xludf.DUMMYFUNCTION("""COMPUTED_VALUE"""),0.0)</f>
        <v>0</v>
      </c>
      <c r="D65" s="26"/>
      <c r="E65" s="67"/>
      <c r="F65" s="68"/>
      <c r="G65" s="69"/>
      <c r="H65" s="69"/>
      <c r="I65" s="69"/>
      <c r="J65" s="70"/>
      <c r="K65" s="71"/>
      <c r="L65" s="66"/>
      <c r="M65" s="66"/>
      <c r="N65" s="11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</row>
    <row r="66">
      <c r="A66" s="66"/>
      <c r="B66" s="66"/>
      <c r="C66" s="66">
        <f>IFERROR(__xludf.DUMMYFUNCTION("""COMPUTED_VALUE"""),0.0)</f>
        <v>0</v>
      </c>
      <c r="D66" s="26"/>
      <c r="E66" s="67"/>
      <c r="F66" s="68"/>
      <c r="G66" s="69"/>
      <c r="H66" s="69"/>
      <c r="I66" s="69"/>
      <c r="J66" s="70"/>
      <c r="K66" s="71"/>
      <c r="L66" s="66"/>
      <c r="M66" s="66"/>
      <c r="N66" s="11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</row>
    <row r="67">
      <c r="A67" s="66"/>
      <c r="B67" s="66"/>
      <c r="C67" s="66">
        <f>IFERROR(__xludf.DUMMYFUNCTION("""COMPUTED_VALUE"""),0.0)</f>
        <v>0</v>
      </c>
      <c r="D67" s="26"/>
      <c r="E67" s="67"/>
      <c r="F67" s="68"/>
      <c r="G67" s="69"/>
      <c r="H67" s="69"/>
      <c r="I67" s="69"/>
      <c r="J67" s="70"/>
      <c r="K67" s="71"/>
      <c r="L67" s="66"/>
      <c r="M67" s="66"/>
      <c r="N67" s="11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>
      <c r="A68" s="66"/>
      <c r="B68" s="66"/>
      <c r="C68" s="66">
        <f>IFERROR(__xludf.DUMMYFUNCTION("""COMPUTED_VALUE"""),0.0)</f>
        <v>0</v>
      </c>
      <c r="D68" s="26"/>
      <c r="E68" s="67"/>
      <c r="F68" s="68"/>
      <c r="G68" s="69"/>
      <c r="H68" s="69"/>
      <c r="I68" s="69"/>
      <c r="J68" s="70"/>
      <c r="K68" s="71"/>
      <c r="L68" s="66"/>
      <c r="M68" s="66"/>
      <c r="N68" s="11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</row>
    <row r="69">
      <c r="A69" s="66"/>
      <c r="B69" s="66"/>
      <c r="C69" s="66">
        <f>IFERROR(__xludf.DUMMYFUNCTION("""COMPUTED_VALUE"""),0.0)</f>
        <v>0</v>
      </c>
      <c r="D69" s="26"/>
      <c r="E69" s="67"/>
      <c r="F69" s="68"/>
      <c r="G69" s="69"/>
      <c r="H69" s="69"/>
      <c r="I69" s="69"/>
      <c r="J69" s="70"/>
      <c r="K69" s="71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</row>
    <row r="70">
      <c r="A70" s="66"/>
      <c r="B70" s="66"/>
      <c r="C70" s="66">
        <f>IFERROR(__xludf.DUMMYFUNCTION("""COMPUTED_VALUE"""),0.0)</f>
        <v>0</v>
      </c>
      <c r="D70" s="26"/>
      <c r="E70" s="67"/>
      <c r="F70" s="68"/>
      <c r="G70" s="69"/>
      <c r="H70" s="69"/>
      <c r="I70" s="69"/>
      <c r="J70" s="70"/>
      <c r="K70" s="71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</row>
    <row r="71">
      <c r="A71" s="66"/>
      <c r="B71" s="66"/>
      <c r="C71" s="66">
        <f>IFERROR(__xludf.DUMMYFUNCTION("""COMPUTED_VALUE"""),0.0)</f>
        <v>0</v>
      </c>
      <c r="D71" s="26"/>
      <c r="E71" s="67"/>
      <c r="F71" s="68"/>
      <c r="G71" s="69"/>
      <c r="H71" s="69"/>
      <c r="I71" s="69"/>
      <c r="J71" s="70"/>
      <c r="K71" s="71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>
      <c r="A72" s="66"/>
      <c r="B72" s="66"/>
      <c r="C72" s="66">
        <f>IFERROR(__xludf.DUMMYFUNCTION("""COMPUTED_VALUE"""),0.0)</f>
        <v>0</v>
      </c>
      <c r="D72" s="26"/>
      <c r="E72" s="67"/>
      <c r="F72" s="68"/>
      <c r="G72" s="69"/>
      <c r="H72" s="69"/>
      <c r="I72" s="69"/>
      <c r="J72" s="70"/>
      <c r="K72" s="71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</row>
    <row r="73">
      <c r="A73" s="66"/>
      <c r="B73" s="66"/>
      <c r="C73" s="66">
        <f>IFERROR(__xludf.DUMMYFUNCTION("""COMPUTED_VALUE"""),0.0)</f>
        <v>0</v>
      </c>
      <c r="D73" s="26"/>
      <c r="E73" s="67"/>
      <c r="F73" s="68"/>
      <c r="G73" s="69"/>
      <c r="H73" s="69"/>
      <c r="I73" s="69"/>
      <c r="J73" s="70"/>
      <c r="K73" s="71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>
      <c r="A74" s="66"/>
      <c r="B74" s="66"/>
      <c r="C74" s="66">
        <f>IFERROR(__xludf.DUMMYFUNCTION("""COMPUTED_VALUE"""),0.0)</f>
        <v>0</v>
      </c>
      <c r="D74" s="26"/>
      <c r="E74" s="67"/>
      <c r="F74" s="68"/>
      <c r="G74" s="69"/>
      <c r="H74" s="69"/>
      <c r="I74" s="69"/>
      <c r="J74" s="70"/>
      <c r="K74" s="71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</row>
    <row r="75">
      <c r="A75" s="66"/>
      <c r="B75" s="66"/>
      <c r="C75" s="66">
        <f>IFERROR(__xludf.DUMMYFUNCTION("""COMPUTED_VALUE"""),0.0)</f>
        <v>0</v>
      </c>
      <c r="D75" s="26"/>
      <c r="E75" s="67"/>
      <c r="F75" s="68"/>
      <c r="G75" s="69"/>
      <c r="H75" s="69"/>
      <c r="I75" s="69"/>
      <c r="J75" s="70"/>
      <c r="K75" s="71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</row>
    <row r="76">
      <c r="A76" s="66"/>
      <c r="B76" s="66"/>
      <c r="C76" s="66">
        <f>IFERROR(__xludf.DUMMYFUNCTION("""COMPUTED_VALUE"""),0.0)</f>
        <v>0</v>
      </c>
      <c r="D76" s="26"/>
      <c r="E76" s="67"/>
      <c r="F76" s="68"/>
      <c r="G76" s="69"/>
      <c r="H76" s="69"/>
      <c r="I76" s="69"/>
      <c r="J76" s="70"/>
      <c r="K76" s="71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</row>
    <row r="77">
      <c r="A77" s="66"/>
      <c r="B77" s="66"/>
      <c r="C77" s="66">
        <f>IFERROR(__xludf.DUMMYFUNCTION("""COMPUTED_VALUE"""),0.0)</f>
        <v>0</v>
      </c>
      <c r="D77" s="26"/>
      <c r="E77" s="67"/>
      <c r="F77" s="68"/>
      <c r="G77" s="69"/>
      <c r="H77" s="69"/>
      <c r="I77" s="69"/>
      <c r="J77" s="70"/>
      <c r="K77" s="71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</row>
    <row r="78">
      <c r="A78" s="66"/>
      <c r="B78" s="66"/>
      <c r="C78" s="66"/>
      <c r="D78" s="26"/>
      <c r="E78" s="67"/>
      <c r="F78" s="68"/>
      <c r="G78" s="69"/>
      <c r="H78" s="69"/>
      <c r="I78" s="69"/>
      <c r="J78" s="70"/>
      <c r="K78" s="71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>
      <c r="A79" s="66"/>
      <c r="B79" s="66"/>
      <c r="C79" s="66"/>
      <c r="D79" s="26"/>
      <c r="E79" s="67"/>
      <c r="F79" s="68"/>
      <c r="G79" s="69"/>
      <c r="H79" s="69"/>
      <c r="I79" s="69"/>
      <c r="J79" s="70"/>
      <c r="K79" s="71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</row>
    <row r="80">
      <c r="A80" s="66"/>
      <c r="B80" s="66"/>
      <c r="C80" s="66"/>
      <c r="D80" s="26"/>
      <c r="E80" s="67"/>
      <c r="F80" s="68"/>
      <c r="G80" s="69"/>
      <c r="H80" s="69"/>
      <c r="I80" s="69"/>
      <c r="J80" s="70"/>
      <c r="K80" s="71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</row>
    <row r="81">
      <c r="A81" s="66"/>
      <c r="B81" s="66"/>
      <c r="C81" s="66"/>
      <c r="D81" s="26"/>
      <c r="E81" s="67"/>
      <c r="F81" s="68"/>
      <c r="G81" s="69"/>
      <c r="H81" s="69"/>
      <c r="I81" s="69"/>
      <c r="J81" s="70"/>
      <c r="K81" s="71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>
      <c r="A82" s="66"/>
      <c r="B82" s="66"/>
      <c r="C82" s="66"/>
      <c r="D82" s="26"/>
      <c r="E82" s="67"/>
      <c r="F82" s="68"/>
      <c r="G82" s="69"/>
      <c r="H82" s="69"/>
      <c r="I82" s="69"/>
      <c r="J82" s="70"/>
      <c r="K82" s="71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</row>
    <row r="83">
      <c r="A83" s="66"/>
      <c r="B83" s="66"/>
      <c r="C83" s="66"/>
      <c r="D83" s="26"/>
      <c r="E83" s="67"/>
      <c r="F83" s="68"/>
      <c r="G83" s="69"/>
      <c r="H83" s="69"/>
      <c r="I83" s="69"/>
      <c r="J83" s="70"/>
      <c r="K83" s="71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</row>
    <row r="84">
      <c r="A84" s="66"/>
      <c r="B84" s="66"/>
      <c r="C84" s="66"/>
      <c r="D84" s="26"/>
      <c r="E84" s="67"/>
      <c r="F84" s="68"/>
      <c r="G84" s="69"/>
      <c r="H84" s="69"/>
      <c r="I84" s="69"/>
      <c r="J84" s="70"/>
      <c r="K84" s="71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>
      <c r="A85" s="66"/>
      <c r="B85" s="66"/>
      <c r="C85" s="66"/>
      <c r="D85" s="26"/>
      <c r="E85" s="67"/>
      <c r="F85" s="68"/>
      <c r="G85" s="69"/>
      <c r="H85" s="69"/>
      <c r="I85" s="69"/>
      <c r="J85" s="70"/>
      <c r="K85" s="71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</row>
    <row r="86">
      <c r="A86" s="66"/>
      <c r="B86" s="66"/>
      <c r="C86" s="66"/>
      <c r="D86" s="26"/>
      <c r="E86" s="67"/>
      <c r="F86" s="68"/>
      <c r="G86" s="69"/>
      <c r="H86" s="69"/>
      <c r="I86" s="69"/>
      <c r="J86" s="70"/>
      <c r="K86" s="71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</row>
    <row r="87">
      <c r="A87" s="66"/>
      <c r="B87" s="66"/>
      <c r="C87" s="66"/>
      <c r="D87" s="26"/>
      <c r="E87" s="67"/>
      <c r="F87" s="68"/>
      <c r="G87" s="69"/>
      <c r="H87" s="69"/>
      <c r="I87" s="69"/>
      <c r="J87" s="70"/>
      <c r="K87" s="71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</row>
    <row r="88">
      <c r="A88" s="66"/>
      <c r="B88" s="66"/>
      <c r="C88" s="66"/>
      <c r="D88" s="26"/>
      <c r="E88" s="67"/>
      <c r="F88" s="68"/>
      <c r="G88" s="69"/>
      <c r="H88" s="69"/>
      <c r="I88" s="69"/>
      <c r="J88" s="70"/>
      <c r="K88" s="71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</row>
    <row r="89">
      <c r="A89" s="66"/>
      <c r="B89" s="66"/>
      <c r="C89" s="66"/>
      <c r="D89" s="26"/>
      <c r="E89" s="67"/>
      <c r="F89" s="68"/>
      <c r="G89" s="69"/>
      <c r="H89" s="69"/>
      <c r="I89" s="69"/>
      <c r="J89" s="70"/>
      <c r="K89" s="71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</row>
    <row r="90">
      <c r="A90" s="66"/>
      <c r="B90" s="66"/>
      <c r="C90" s="66"/>
      <c r="D90" s="26"/>
      <c r="E90" s="67"/>
      <c r="F90" s="68"/>
      <c r="G90" s="69"/>
      <c r="H90" s="69"/>
      <c r="I90" s="69"/>
      <c r="J90" s="70"/>
      <c r="K90" s="71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</row>
    <row r="91">
      <c r="A91" s="66"/>
      <c r="B91" s="66"/>
      <c r="C91" s="66"/>
      <c r="D91" s="26"/>
      <c r="E91" s="67"/>
      <c r="F91" s="68"/>
      <c r="G91" s="69"/>
      <c r="H91" s="69"/>
      <c r="I91" s="69"/>
      <c r="J91" s="70"/>
      <c r="K91" s="71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</row>
    <row r="92">
      <c r="A92" s="66"/>
      <c r="B92" s="66"/>
      <c r="C92" s="66"/>
      <c r="D92" s="26"/>
      <c r="E92" s="67"/>
      <c r="F92" s="68"/>
      <c r="G92" s="69"/>
      <c r="H92" s="69"/>
      <c r="I92" s="69"/>
      <c r="J92" s="70"/>
      <c r="K92" s="71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</row>
    <row r="93">
      <c r="A93" s="66"/>
      <c r="B93" s="66"/>
      <c r="C93" s="66"/>
      <c r="D93" s="26"/>
      <c r="E93" s="67"/>
      <c r="F93" s="68"/>
      <c r="G93" s="69"/>
      <c r="H93" s="69"/>
      <c r="I93" s="69"/>
      <c r="J93" s="70"/>
      <c r="K93" s="71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>
      <c r="A94" s="66"/>
      <c r="B94" s="66"/>
      <c r="C94" s="66"/>
      <c r="D94" s="26"/>
      <c r="E94" s="67"/>
      <c r="F94" s="68"/>
      <c r="G94" s="69"/>
      <c r="H94" s="69"/>
      <c r="I94" s="69"/>
      <c r="J94" s="70"/>
      <c r="K94" s="71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</row>
    <row r="95">
      <c r="A95" s="66"/>
      <c r="B95" s="66"/>
      <c r="C95" s="66"/>
      <c r="D95" s="26"/>
      <c r="E95" s="67"/>
      <c r="F95" s="68"/>
      <c r="G95" s="69"/>
      <c r="H95" s="69"/>
      <c r="I95" s="69"/>
      <c r="J95" s="70"/>
      <c r="K95" s="71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</row>
    <row r="96">
      <c r="A96" s="66"/>
      <c r="B96" s="66"/>
      <c r="C96" s="66"/>
      <c r="D96" s="26"/>
      <c r="E96" s="67"/>
      <c r="F96" s="67"/>
      <c r="G96" s="69"/>
      <c r="H96" s="69"/>
      <c r="I96" s="69"/>
      <c r="J96" s="70"/>
      <c r="K96" s="71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</row>
    <row r="97">
      <c r="A97" s="66"/>
      <c r="B97" s="66"/>
      <c r="C97" s="66"/>
      <c r="D97" s="26"/>
      <c r="E97" s="67"/>
      <c r="F97" s="67"/>
      <c r="G97" s="69"/>
      <c r="H97" s="69"/>
      <c r="I97" s="69"/>
      <c r="J97" s="70"/>
      <c r="K97" s="71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>
      <c r="A98" s="66"/>
      <c r="B98" s="66"/>
      <c r="C98" s="66"/>
      <c r="D98" s="26"/>
      <c r="E98" s="67"/>
      <c r="F98" s="67"/>
      <c r="G98" s="69"/>
      <c r="H98" s="69"/>
      <c r="I98" s="69"/>
      <c r="J98" s="70"/>
      <c r="K98" s="71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</row>
    <row r="99">
      <c r="A99" s="66"/>
      <c r="B99" s="66"/>
      <c r="C99" s="66"/>
      <c r="D99" s="26"/>
      <c r="E99" s="67"/>
      <c r="F99" s="67"/>
      <c r="G99" s="69"/>
      <c r="H99" s="69"/>
      <c r="I99" s="69"/>
      <c r="J99" s="70"/>
      <c r="K99" s="71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</row>
    <row r="100">
      <c r="A100" s="66"/>
      <c r="B100" s="66"/>
      <c r="C100" s="66"/>
      <c r="D100" s="26"/>
      <c r="E100" s="67"/>
      <c r="F100" s="67"/>
      <c r="G100" s="69"/>
      <c r="H100" s="69"/>
      <c r="I100" s="69"/>
      <c r="J100" s="70"/>
      <c r="K100" s="71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>
      <c r="A101" s="66"/>
      <c r="B101" s="66"/>
      <c r="C101" s="66"/>
      <c r="D101" s="26"/>
      <c r="E101" s="67"/>
      <c r="F101" s="67"/>
      <c r="G101" s="69"/>
      <c r="H101" s="69"/>
      <c r="I101" s="69"/>
      <c r="J101" s="70"/>
      <c r="K101" s="71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>
      <c r="A102" s="66"/>
      <c r="B102" s="66"/>
      <c r="C102" s="66"/>
      <c r="D102" s="26"/>
      <c r="E102" s="67"/>
      <c r="F102" s="67"/>
      <c r="G102" s="69"/>
      <c r="H102" s="69"/>
      <c r="I102" s="69"/>
      <c r="J102" s="70"/>
      <c r="K102" s="71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</row>
    <row r="103">
      <c r="A103" s="66"/>
      <c r="B103" s="66"/>
      <c r="C103" s="66"/>
      <c r="D103" s="26"/>
      <c r="E103" s="67"/>
      <c r="F103" s="67"/>
      <c r="G103" s="69"/>
      <c r="H103" s="69"/>
      <c r="I103" s="69"/>
      <c r="J103" s="70"/>
      <c r="K103" s="71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</row>
    <row r="104">
      <c r="A104" s="66"/>
      <c r="B104" s="66"/>
      <c r="C104" s="66"/>
      <c r="D104" s="26"/>
      <c r="E104" s="67"/>
      <c r="F104" s="67"/>
      <c r="G104" s="69"/>
      <c r="H104" s="69"/>
      <c r="I104" s="69"/>
      <c r="J104" s="70"/>
      <c r="K104" s="71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</row>
    <row r="105">
      <c r="A105" s="66"/>
      <c r="B105" s="66"/>
      <c r="C105" s="66"/>
      <c r="D105" s="26"/>
      <c r="E105" s="67"/>
      <c r="F105" s="67"/>
      <c r="G105" s="69"/>
      <c r="H105" s="69"/>
      <c r="I105" s="69"/>
      <c r="J105" s="70"/>
      <c r="K105" s="71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</row>
    <row r="106">
      <c r="A106" s="66"/>
      <c r="B106" s="66"/>
      <c r="C106" s="66"/>
      <c r="D106" s="26"/>
      <c r="E106" s="67"/>
      <c r="F106" s="67"/>
      <c r="G106" s="69"/>
      <c r="H106" s="69"/>
      <c r="I106" s="69"/>
      <c r="J106" s="70"/>
      <c r="K106" s="71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</row>
    <row r="107">
      <c r="A107" s="66"/>
      <c r="B107" s="66"/>
      <c r="C107" s="66"/>
      <c r="D107" s="26"/>
      <c r="E107" s="67"/>
      <c r="F107" s="67"/>
      <c r="G107" s="69"/>
      <c r="H107" s="69"/>
      <c r="I107" s="69"/>
      <c r="J107" s="70"/>
      <c r="K107" s="71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</row>
    <row r="108">
      <c r="A108" s="66"/>
      <c r="B108" s="66"/>
      <c r="C108" s="66"/>
      <c r="D108" s="26"/>
      <c r="E108" s="67"/>
      <c r="F108" s="67"/>
      <c r="G108" s="69"/>
      <c r="H108" s="69"/>
      <c r="I108" s="69"/>
      <c r="J108" s="70"/>
      <c r="K108" s="71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</row>
    <row r="109">
      <c r="A109" s="66"/>
      <c r="B109" s="66"/>
      <c r="C109" s="66"/>
      <c r="D109" s="26"/>
      <c r="E109" s="67"/>
      <c r="F109" s="67"/>
      <c r="G109" s="69"/>
      <c r="H109" s="69"/>
      <c r="I109" s="69"/>
      <c r="J109" s="70"/>
      <c r="K109" s="71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</row>
    <row r="110">
      <c r="A110" s="66"/>
      <c r="B110" s="66"/>
      <c r="C110" s="66"/>
      <c r="D110" s="26"/>
      <c r="E110" s="67"/>
      <c r="F110" s="67"/>
      <c r="G110" s="69"/>
      <c r="H110" s="69"/>
      <c r="I110" s="69"/>
      <c r="J110" s="70"/>
      <c r="K110" s="71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</row>
    <row r="111">
      <c r="A111" s="66"/>
      <c r="B111" s="66"/>
      <c r="C111" s="66"/>
      <c r="D111" s="26"/>
      <c r="E111" s="67"/>
      <c r="F111" s="67"/>
      <c r="G111" s="69"/>
      <c r="H111" s="69"/>
      <c r="I111" s="69"/>
      <c r="J111" s="70"/>
      <c r="K111" s="71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</row>
    <row r="112">
      <c r="A112" s="66"/>
      <c r="B112" s="66"/>
      <c r="C112" s="66"/>
      <c r="D112" s="26"/>
      <c r="E112" s="67"/>
      <c r="F112" s="67"/>
      <c r="G112" s="69"/>
      <c r="H112" s="69"/>
      <c r="I112" s="69"/>
      <c r="J112" s="70"/>
      <c r="K112" s="71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</row>
    <row r="113">
      <c r="A113" s="66"/>
      <c r="B113" s="66"/>
      <c r="C113" s="66"/>
      <c r="D113" s="26"/>
      <c r="E113" s="67"/>
      <c r="F113" s="67"/>
      <c r="G113" s="69"/>
      <c r="H113" s="69"/>
      <c r="I113" s="69"/>
      <c r="J113" s="70"/>
      <c r="K113" s="71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</row>
    <row r="114">
      <c r="A114" s="66"/>
      <c r="B114" s="66"/>
      <c r="C114" s="66"/>
      <c r="D114" s="26"/>
      <c r="E114" s="67"/>
      <c r="F114" s="67"/>
      <c r="G114" s="69"/>
      <c r="H114" s="69"/>
      <c r="I114" s="69"/>
      <c r="J114" s="70"/>
      <c r="K114" s="71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</row>
    <row r="115">
      <c r="A115" s="66"/>
      <c r="B115" s="66"/>
      <c r="C115" s="66"/>
      <c r="D115" s="26"/>
      <c r="E115" s="67"/>
      <c r="F115" s="67"/>
      <c r="G115" s="69"/>
      <c r="H115" s="69"/>
      <c r="I115" s="69"/>
      <c r="J115" s="70"/>
      <c r="K115" s="71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</row>
    <row r="116">
      <c r="A116" s="66"/>
      <c r="B116" s="66"/>
      <c r="C116" s="66"/>
      <c r="D116" s="26"/>
      <c r="E116" s="67"/>
      <c r="F116" s="67"/>
      <c r="G116" s="69"/>
      <c r="H116" s="69"/>
      <c r="I116" s="69"/>
      <c r="J116" s="70"/>
      <c r="K116" s="71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</row>
    <row r="117">
      <c r="A117" s="66"/>
      <c r="B117" s="66"/>
      <c r="C117" s="66"/>
      <c r="D117" s="26"/>
      <c r="E117" s="67"/>
      <c r="F117" s="67"/>
      <c r="G117" s="69"/>
      <c r="H117" s="69"/>
      <c r="I117" s="69"/>
      <c r="J117" s="70"/>
      <c r="K117" s="71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</row>
    <row r="118">
      <c r="A118" s="66"/>
      <c r="B118" s="66"/>
      <c r="C118" s="66"/>
      <c r="D118" s="26"/>
      <c r="E118" s="67"/>
      <c r="F118" s="67"/>
      <c r="G118" s="69"/>
      <c r="H118" s="69"/>
      <c r="I118" s="69"/>
      <c r="J118" s="70"/>
      <c r="K118" s="71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</row>
    <row r="119">
      <c r="A119" s="66"/>
      <c r="B119" s="66"/>
      <c r="C119" s="66"/>
      <c r="D119" s="26"/>
      <c r="E119" s="67"/>
      <c r="F119" s="67"/>
      <c r="G119" s="69"/>
      <c r="H119" s="69"/>
      <c r="I119" s="69"/>
      <c r="J119" s="70"/>
      <c r="K119" s="71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</row>
    <row r="120">
      <c r="A120" s="66"/>
      <c r="B120" s="66"/>
      <c r="C120" s="66"/>
      <c r="D120" s="26"/>
      <c r="E120" s="67"/>
      <c r="F120" s="67"/>
      <c r="G120" s="69"/>
      <c r="H120" s="69"/>
      <c r="I120" s="69"/>
      <c r="J120" s="70"/>
      <c r="K120" s="71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</row>
    <row r="121">
      <c r="A121" s="66"/>
      <c r="B121" s="66"/>
      <c r="C121" s="66"/>
      <c r="D121" s="26"/>
      <c r="E121" s="67"/>
      <c r="F121" s="67"/>
      <c r="G121" s="69"/>
      <c r="H121" s="69"/>
      <c r="I121" s="69"/>
      <c r="J121" s="70"/>
      <c r="K121" s="71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</row>
    <row r="122">
      <c r="A122" s="66"/>
      <c r="B122" s="66"/>
      <c r="C122" s="66"/>
      <c r="D122" s="26"/>
      <c r="E122" s="67"/>
      <c r="F122" s="67"/>
      <c r="G122" s="69"/>
      <c r="H122" s="69"/>
      <c r="I122" s="69"/>
      <c r="J122" s="70"/>
      <c r="K122" s="71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>
      <c r="A123" s="66"/>
      <c r="B123" s="66"/>
      <c r="C123" s="66"/>
      <c r="D123" s="26"/>
      <c r="E123" s="67"/>
      <c r="F123" s="67"/>
      <c r="G123" s="69"/>
      <c r="H123" s="69"/>
      <c r="I123" s="69"/>
      <c r="J123" s="70"/>
      <c r="K123" s="71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</row>
    <row r="124">
      <c r="A124" s="66"/>
      <c r="B124" s="66"/>
      <c r="C124" s="66"/>
      <c r="D124" s="26"/>
      <c r="E124" s="67"/>
      <c r="F124" s="67"/>
      <c r="G124" s="69"/>
      <c r="H124" s="69"/>
      <c r="I124" s="69"/>
      <c r="J124" s="70"/>
      <c r="K124" s="71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</row>
    <row r="125">
      <c r="A125" s="66"/>
      <c r="B125" s="66"/>
      <c r="C125" s="66"/>
      <c r="D125" s="26"/>
      <c r="E125" s="67"/>
      <c r="F125" s="67"/>
      <c r="G125" s="69"/>
      <c r="H125" s="69"/>
      <c r="I125" s="69"/>
      <c r="J125" s="70"/>
      <c r="K125" s="71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</row>
    <row r="126">
      <c r="A126" s="66"/>
      <c r="B126" s="66"/>
      <c r="C126" s="66"/>
      <c r="D126" s="26"/>
      <c r="E126" s="67"/>
      <c r="F126" s="67"/>
      <c r="G126" s="69"/>
      <c r="H126" s="69"/>
      <c r="I126" s="69"/>
      <c r="J126" s="70"/>
      <c r="K126" s="71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</row>
    <row r="127">
      <c r="A127" s="66"/>
      <c r="B127" s="66"/>
      <c r="C127" s="66"/>
      <c r="D127" s="26"/>
      <c r="E127" s="67"/>
      <c r="F127" s="67"/>
      <c r="G127" s="69"/>
      <c r="H127" s="69"/>
      <c r="I127" s="69"/>
      <c r="J127" s="70"/>
      <c r="K127" s="71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</row>
    <row r="128">
      <c r="A128" s="66"/>
      <c r="B128" s="66"/>
      <c r="C128" s="66"/>
      <c r="D128" s="26"/>
      <c r="E128" s="67"/>
      <c r="F128" s="67"/>
      <c r="G128" s="69"/>
      <c r="H128" s="69"/>
      <c r="I128" s="69"/>
      <c r="J128" s="70"/>
      <c r="K128" s="71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</row>
    <row r="129">
      <c r="A129" s="66"/>
      <c r="B129" s="66"/>
      <c r="C129" s="66"/>
      <c r="D129" s="26"/>
      <c r="E129" s="67"/>
      <c r="F129" s="67"/>
      <c r="G129" s="69"/>
      <c r="H129" s="69"/>
      <c r="I129" s="69"/>
      <c r="J129" s="70"/>
      <c r="K129" s="71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</row>
    <row r="130">
      <c r="A130" s="66"/>
      <c r="B130" s="66"/>
      <c r="C130" s="66"/>
      <c r="D130" s="26"/>
      <c r="E130" s="67"/>
      <c r="F130" s="67"/>
      <c r="G130" s="69"/>
      <c r="H130" s="69"/>
      <c r="I130" s="69"/>
      <c r="J130" s="70"/>
      <c r="K130" s="71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</row>
    <row r="131">
      <c r="A131" s="66"/>
      <c r="B131" s="66"/>
      <c r="C131" s="66"/>
      <c r="D131" s="26"/>
      <c r="E131" s="67"/>
      <c r="F131" s="67"/>
      <c r="G131" s="69"/>
      <c r="H131" s="69"/>
      <c r="I131" s="69"/>
      <c r="J131" s="70"/>
      <c r="K131" s="71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</row>
    <row r="132">
      <c r="A132" s="66"/>
      <c r="B132" s="66"/>
      <c r="C132" s="66"/>
      <c r="D132" s="26"/>
      <c r="E132" s="67"/>
      <c r="F132" s="67"/>
      <c r="G132" s="69"/>
      <c r="H132" s="69"/>
      <c r="I132" s="69"/>
      <c r="J132" s="70"/>
      <c r="K132" s="71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</row>
    <row r="133">
      <c r="A133" s="66"/>
      <c r="B133" s="66"/>
      <c r="C133" s="66"/>
      <c r="D133" s="26"/>
      <c r="E133" s="67"/>
      <c r="F133" s="67"/>
      <c r="G133" s="69"/>
      <c r="H133" s="69"/>
      <c r="I133" s="69"/>
      <c r="J133" s="70"/>
      <c r="K133" s="71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>
      <c r="A134" s="66"/>
      <c r="B134" s="66"/>
      <c r="C134" s="66"/>
      <c r="D134" s="26"/>
      <c r="E134" s="67"/>
      <c r="F134" s="67"/>
      <c r="G134" s="69"/>
      <c r="H134" s="69"/>
      <c r="I134" s="69"/>
      <c r="J134" s="70"/>
      <c r="K134" s="71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</row>
    <row r="135">
      <c r="A135" s="66"/>
      <c r="B135" s="66"/>
      <c r="C135" s="66"/>
      <c r="D135" s="26"/>
      <c r="E135" s="67"/>
      <c r="F135" s="67"/>
      <c r="G135" s="69"/>
      <c r="H135" s="69"/>
      <c r="I135" s="69"/>
      <c r="J135" s="70"/>
      <c r="K135" s="71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</row>
    <row r="136">
      <c r="A136" s="66"/>
      <c r="B136" s="66"/>
      <c r="C136" s="66"/>
      <c r="D136" s="26"/>
      <c r="E136" s="67"/>
      <c r="F136" s="67"/>
      <c r="G136" s="69"/>
      <c r="H136" s="69"/>
      <c r="I136" s="69"/>
      <c r="J136" s="70"/>
      <c r="K136" s="71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</row>
    <row r="137">
      <c r="A137" s="66"/>
      <c r="B137" s="66"/>
      <c r="C137" s="66"/>
      <c r="D137" s="26"/>
      <c r="E137" s="67"/>
      <c r="F137" s="67"/>
      <c r="G137" s="69"/>
      <c r="H137" s="69"/>
      <c r="I137" s="69"/>
      <c r="J137" s="70"/>
      <c r="K137" s="71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</row>
    <row r="138">
      <c r="A138" s="66"/>
      <c r="B138" s="66"/>
      <c r="C138" s="66"/>
      <c r="D138" s="26"/>
      <c r="E138" s="67"/>
      <c r="F138" s="67"/>
      <c r="G138" s="69"/>
      <c r="H138" s="69"/>
      <c r="I138" s="69"/>
      <c r="J138" s="70"/>
      <c r="K138" s="71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</row>
    <row r="139">
      <c r="A139" s="66"/>
      <c r="B139" s="66"/>
      <c r="C139" s="66"/>
      <c r="D139" s="26"/>
      <c r="E139" s="67"/>
      <c r="F139" s="67"/>
      <c r="G139" s="69"/>
      <c r="H139" s="69"/>
      <c r="I139" s="69"/>
      <c r="J139" s="70"/>
      <c r="K139" s="71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</row>
    <row r="140">
      <c r="A140" s="66"/>
      <c r="B140" s="66"/>
      <c r="C140" s="66"/>
      <c r="D140" s="26"/>
      <c r="E140" s="67"/>
      <c r="F140" s="67"/>
      <c r="G140" s="69"/>
      <c r="H140" s="69"/>
      <c r="I140" s="69"/>
      <c r="J140" s="70"/>
      <c r="K140" s="71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</row>
    <row r="141">
      <c r="A141" s="66"/>
      <c r="B141" s="66"/>
      <c r="C141" s="66"/>
      <c r="D141" s="26"/>
      <c r="E141" s="67"/>
      <c r="F141" s="67"/>
      <c r="G141" s="69"/>
      <c r="H141" s="69"/>
      <c r="I141" s="69"/>
      <c r="J141" s="70"/>
      <c r="K141" s="71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</row>
    <row r="142">
      <c r="A142" s="66"/>
      <c r="B142" s="66"/>
      <c r="C142" s="66"/>
      <c r="D142" s="26"/>
      <c r="E142" s="67"/>
      <c r="F142" s="67"/>
      <c r="G142" s="69"/>
      <c r="H142" s="69"/>
      <c r="I142" s="69"/>
      <c r="J142" s="70"/>
      <c r="K142" s="71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</row>
    <row r="143">
      <c r="A143" s="66"/>
      <c r="B143" s="66"/>
      <c r="C143" s="66"/>
      <c r="D143" s="26"/>
      <c r="E143" s="67"/>
      <c r="F143" s="67"/>
      <c r="G143" s="69"/>
      <c r="H143" s="69"/>
      <c r="I143" s="69"/>
      <c r="J143" s="70"/>
      <c r="K143" s="71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</row>
    <row r="144">
      <c r="A144" s="66"/>
      <c r="B144" s="66"/>
      <c r="C144" s="66"/>
      <c r="D144" s="26"/>
      <c r="E144" s="67"/>
      <c r="F144" s="67"/>
      <c r="G144" s="69"/>
      <c r="H144" s="69"/>
      <c r="I144" s="69"/>
      <c r="J144" s="70"/>
      <c r="K144" s="71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</row>
    <row r="145">
      <c r="A145" s="66"/>
      <c r="B145" s="66"/>
      <c r="C145" s="66"/>
      <c r="D145" s="26"/>
      <c r="E145" s="67"/>
      <c r="F145" s="67"/>
      <c r="G145" s="69"/>
      <c r="H145" s="69"/>
      <c r="I145" s="69"/>
      <c r="J145" s="70"/>
      <c r="K145" s="71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>
      <c r="A146" s="66"/>
      <c r="B146" s="66"/>
      <c r="C146" s="66"/>
      <c r="D146" s="26"/>
      <c r="E146" s="67"/>
      <c r="F146" s="67"/>
      <c r="G146" s="69"/>
      <c r="H146" s="69"/>
      <c r="I146" s="69"/>
      <c r="J146" s="70"/>
      <c r="K146" s="71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</row>
    <row r="147">
      <c r="A147" s="66"/>
      <c r="B147" s="66"/>
      <c r="C147" s="66"/>
      <c r="D147" s="26"/>
      <c r="E147" s="67"/>
      <c r="F147" s="67"/>
      <c r="G147" s="69"/>
      <c r="H147" s="69"/>
      <c r="I147" s="69"/>
      <c r="J147" s="70"/>
      <c r="K147" s="71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</row>
    <row r="148">
      <c r="A148" s="66"/>
      <c r="B148" s="66"/>
      <c r="C148" s="66"/>
      <c r="D148" s="26"/>
      <c r="E148" s="67"/>
      <c r="F148" s="67"/>
      <c r="G148" s="69"/>
      <c r="H148" s="69"/>
      <c r="I148" s="69"/>
      <c r="J148" s="70"/>
      <c r="K148" s="71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</row>
    <row r="149">
      <c r="A149" s="66"/>
      <c r="B149" s="66"/>
      <c r="C149" s="66"/>
      <c r="D149" s="26"/>
      <c r="E149" s="67"/>
      <c r="F149" s="67"/>
      <c r="G149" s="69"/>
      <c r="H149" s="69"/>
      <c r="I149" s="69"/>
      <c r="J149" s="70"/>
      <c r="K149" s="71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>
      <c r="A150" s="66"/>
      <c r="B150" s="66"/>
      <c r="C150" s="66"/>
      <c r="D150" s="26"/>
      <c r="E150" s="67"/>
      <c r="F150" s="67"/>
      <c r="G150" s="69"/>
      <c r="H150" s="69"/>
      <c r="I150" s="69"/>
      <c r="J150" s="70"/>
      <c r="K150" s="71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</row>
    <row r="151">
      <c r="A151" s="66"/>
      <c r="B151" s="66"/>
      <c r="C151" s="66"/>
      <c r="D151" s="26"/>
      <c r="E151" s="67"/>
      <c r="F151" s="67"/>
      <c r="G151" s="69"/>
      <c r="H151" s="69"/>
      <c r="I151" s="69"/>
      <c r="J151" s="70"/>
      <c r="K151" s="71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</row>
    <row r="152">
      <c r="A152" s="66"/>
      <c r="B152" s="66"/>
      <c r="C152" s="66"/>
      <c r="D152" s="26"/>
      <c r="E152" s="67"/>
      <c r="F152" s="67"/>
      <c r="G152" s="69"/>
      <c r="H152" s="69"/>
      <c r="I152" s="69"/>
      <c r="J152" s="70"/>
      <c r="K152" s="71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</row>
    <row r="153">
      <c r="A153" s="66"/>
      <c r="B153" s="66"/>
      <c r="C153" s="66"/>
      <c r="D153" s="26"/>
      <c r="E153" s="67"/>
      <c r="F153" s="67"/>
      <c r="G153" s="69"/>
      <c r="H153" s="69"/>
      <c r="I153" s="69"/>
      <c r="J153" s="70"/>
      <c r="K153" s="71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</row>
    <row r="154">
      <c r="A154" s="66"/>
      <c r="B154" s="66"/>
      <c r="C154" s="66"/>
      <c r="D154" s="26"/>
      <c r="E154" s="67"/>
      <c r="F154" s="67"/>
      <c r="G154" s="69"/>
      <c r="H154" s="69"/>
      <c r="I154" s="69"/>
      <c r="J154" s="70"/>
      <c r="K154" s="71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</row>
    <row r="155">
      <c r="A155" s="66"/>
      <c r="B155" s="66"/>
      <c r="C155" s="66"/>
      <c r="D155" s="26"/>
      <c r="E155" s="67"/>
      <c r="F155" s="67"/>
      <c r="G155" s="69"/>
      <c r="H155" s="69"/>
      <c r="I155" s="69"/>
      <c r="J155" s="70"/>
      <c r="K155" s="71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</row>
    <row r="156">
      <c r="A156" s="66"/>
      <c r="B156" s="66"/>
      <c r="C156" s="66"/>
      <c r="D156" s="26"/>
      <c r="E156" s="67"/>
      <c r="F156" s="67"/>
      <c r="G156" s="69"/>
      <c r="H156" s="69"/>
      <c r="I156" s="69"/>
      <c r="J156" s="70"/>
      <c r="K156" s="71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</row>
    <row r="157">
      <c r="A157" s="66"/>
      <c r="B157" s="66"/>
      <c r="C157" s="66"/>
      <c r="D157" s="26"/>
      <c r="E157" s="67"/>
      <c r="F157" s="67"/>
      <c r="G157" s="69"/>
      <c r="H157" s="69"/>
      <c r="I157" s="69"/>
      <c r="J157" s="70"/>
      <c r="K157" s="71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</row>
    <row r="158">
      <c r="A158" s="66"/>
      <c r="B158" s="66"/>
      <c r="C158" s="66"/>
      <c r="D158" s="26"/>
      <c r="E158" s="67"/>
      <c r="F158" s="67"/>
      <c r="G158" s="69"/>
      <c r="H158" s="69"/>
      <c r="I158" s="69"/>
      <c r="J158" s="70"/>
      <c r="K158" s="71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</row>
    <row r="159">
      <c r="A159" s="66"/>
      <c r="B159" s="66"/>
      <c r="C159" s="66"/>
      <c r="D159" s="26"/>
      <c r="E159" s="67"/>
      <c r="F159" s="67"/>
      <c r="G159" s="69"/>
      <c r="H159" s="69"/>
      <c r="I159" s="69"/>
      <c r="J159" s="70"/>
      <c r="K159" s="71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</row>
    <row r="160">
      <c r="A160" s="66"/>
      <c r="B160" s="66"/>
      <c r="C160" s="66"/>
      <c r="D160" s="26"/>
      <c r="E160" s="67"/>
      <c r="F160" s="67"/>
      <c r="G160" s="69"/>
      <c r="H160" s="69"/>
      <c r="I160" s="69"/>
      <c r="J160" s="70"/>
      <c r="K160" s="71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</row>
    <row r="161">
      <c r="A161" s="66"/>
      <c r="B161" s="66"/>
      <c r="C161" s="66"/>
      <c r="D161" s="26"/>
      <c r="E161" s="67"/>
      <c r="F161" s="67"/>
      <c r="G161" s="69"/>
      <c r="H161" s="69"/>
      <c r="I161" s="69"/>
      <c r="J161" s="70"/>
      <c r="K161" s="71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</row>
    <row r="162">
      <c r="A162" s="66"/>
      <c r="B162" s="66"/>
      <c r="C162" s="66"/>
      <c r="D162" s="26"/>
      <c r="E162" s="67"/>
      <c r="F162" s="67"/>
      <c r="G162" s="69"/>
      <c r="H162" s="69"/>
      <c r="I162" s="69"/>
      <c r="J162" s="70"/>
      <c r="K162" s="71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</row>
    <row r="163">
      <c r="A163" s="66"/>
      <c r="B163" s="66"/>
      <c r="C163" s="66"/>
      <c r="D163" s="26"/>
      <c r="E163" s="67"/>
      <c r="F163" s="67"/>
      <c r="G163" s="69"/>
      <c r="H163" s="69"/>
      <c r="I163" s="69"/>
      <c r="J163" s="70"/>
      <c r="K163" s="71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</row>
    <row r="164">
      <c r="A164" s="66"/>
      <c r="B164" s="66"/>
      <c r="C164" s="66"/>
      <c r="D164" s="26"/>
      <c r="E164" s="67"/>
      <c r="F164" s="67"/>
      <c r="G164" s="69"/>
      <c r="H164" s="69"/>
      <c r="I164" s="69"/>
      <c r="J164" s="70"/>
      <c r="K164" s="71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</row>
    <row r="165">
      <c r="A165" s="66"/>
      <c r="B165" s="66"/>
      <c r="C165" s="66"/>
      <c r="D165" s="26"/>
      <c r="E165" s="67"/>
      <c r="F165" s="67"/>
      <c r="G165" s="69"/>
      <c r="H165" s="69"/>
      <c r="I165" s="69"/>
      <c r="J165" s="70"/>
      <c r="K165" s="71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</row>
    <row r="166">
      <c r="A166" s="66"/>
      <c r="B166" s="66"/>
      <c r="C166" s="66"/>
      <c r="D166" s="26"/>
      <c r="E166" s="67"/>
      <c r="F166" s="67"/>
      <c r="G166" s="69"/>
      <c r="H166" s="69"/>
      <c r="I166" s="69"/>
      <c r="J166" s="70"/>
      <c r="K166" s="71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</row>
    <row r="167">
      <c r="A167" s="66"/>
      <c r="B167" s="66"/>
      <c r="C167" s="66"/>
      <c r="D167" s="26"/>
      <c r="E167" s="67"/>
      <c r="F167" s="67"/>
      <c r="G167" s="69"/>
      <c r="H167" s="69"/>
      <c r="I167" s="69"/>
      <c r="J167" s="70"/>
      <c r="K167" s="71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</row>
    <row r="168">
      <c r="A168" s="66"/>
      <c r="B168" s="66"/>
      <c r="C168" s="66"/>
      <c r="D168" s="26"/>
      <c r="E168" s="67"/>
      <c r="F168" s="67"/>
      <c r="G168" s="69"/>
      <c r="H168" s="69"/>
      <c r="I168" s="69"/>
      <c r="J168" s="70"/>
      <c r="K168" s="71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</row>
    <row r="169">
      <c r="A169" s="66"/>
      <c r="B169" s="66"/>
      <c r="C169" s="66"/>
      <c r="D169" s="26"/>
      <c r="E169" s="67"/>
      <c r="F169" s="67"/>
      <c r="G169" s="69"/>
      <c r="H169" s="69"/>
      <c r="I169" s="69"/>
      <c r="J169" s="70"/>
      <c r="K169" s="71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</row>
    <row r="170">
      <c r="A170" s="66"/>
      <c r="B170" s="66"/>
      <c r="C170" s="66"/>
      <c r="D170" s="26"/>
      <c r="E170" s="67"/>
      <c r="F170" s="67"/>
      <c r="G170" s="69"/>
      <c r="H170" s="69"/>
      <c r="I170" s="69"/>
      <c r="J170" s="70"/>
      <c r="K170" s="71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</row>
    <row r="171">
      <c r="A171" s="66"/>
      <c r="B171" s="66"/>
      <c r="C171" s="66"/>
      <c r="D171" s="26"/>
      <c r="E171" s="67"/>
      <c r="F171" s="67"/>
      <c r="G171" s="69"/>
      <c r="H171" s="69"/>
      <c r="I171" s="69"/>
      <c r="J171" s="70"/>
      <c r="K171" s="71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>
      <c r="A172" s="66"/>
      <c r="B172" s="66"/>
      <c r="C172" s="66"/>
      <c r="D172" s="26"/>
      <c r="E172" s="67"/>
      <c r="F172" s="67"/>
      <c r="G172" s="69"/>
      <c r="H172" s="69"/>
      <c r="I172" s="69"/>
      <c r="J172" s="70"/>
      <c r="K172" s="71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</row>
    <row r="173">
      <c r="A173" s="66"/>
      <c r="B173" s="66"/>
      <c r="C173" s="66"/>
      <c r="D173" s="26"/>
      <c r="E173" s="67"/>
      <c r="F173" s="67"/>
      <c r="G173" s="69"/>
      <c r="H173" s="69"/>
      <c r="I173" s="69"/>
      <c r="J173" s="70"/>
      <c r="K173" s="71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</row>
    <row r="174">
      <c r="A174" s="66"/>
      <c r="B174" s="66"/>
      <c r="C174" s="66"/>
      <c r="D174" s="26"/>
      <c r="E174" s="67"/>
      <c r="F174" s="67"/>
      <c r="G174" s="69"/>
      <c r="H174" s="69"/>
      <c r="I174" s="69"/>
      <c r="J174" s="70"/>
      <c r="K174" s="71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</row>
    <row r="175">
      <c r="A175" s="66"/>
      <c r="B175" s="66"/>
      <c r="C175" s="66"/>
      <c r="D175" s="26"/>
      <c r="E175" s="67"/>
      <c r="F175" s="67"/>
      <c r="G175" s="69"/>
      <c r="H175" s="69"/>
      <c r="I175" s="69"/>
      <c r="J175" s="70"/>
      <c r="K175" s="71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</row>
    <row r="176">
      <c r="A176" s="66"/>
      <c r="B176" s="66"/>
      <c r="C176" s="66"/>
      <c r="D176" s="26"/>
      <c r="E176" s="67"/>
      <c r="F176" s="67"/>
      <c r="G176" s="69"/>
      <c r="H176" s="69"/>
      <c r="I176" s="69"/>
      <c r="J176" s="70"/>
      <c r="K176" s="71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</row>
    <row r="177">
      <c r="A177" s="66"/>
      <c r="B177" s="66"/>
      <c r="C177" s="66"/>
      <c r="D177" s="26"/>
      <c r="E177" s="67"/>
      <c r="F177" s="67"/>
      <c r="G177" s="69"/>
      <c r="H177" s="69"/>
      <c r="I177" s="69"/>
      <c r="J177" s="70"/>
      <c r="K177" s="71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</row>
    <row r="178">
      <c r="A178" s="66"/>
      <c r="B178" s="66"/>
      <c r="C178" s="66"/>
      <c r="D178" s="26"/>
      <c r="E178" s="67"/>
      <c r="F178" s="67"/>
      <c r="G178" s="69"/>
      <c r="H178" s="69"/>
      <c r="I178" s="69"/>
      <c r="J178" s="70"/>
      <c r="K178" s="71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</row>
    <row r="179">
      <c r="A179" s="66"/>
      <c r="B179" s="66"/>
      <c r="C179" s="66"/>
      <c r="D179" s="26"/>
      <c r="E179" s="67"/>
      <c r="F179" s="67"/>
      <c r="G179" s="69"/>
      <c r="H179" s="69"/>
      <c r="I179" s="69"/>
      <c r="J179" s="70"/>
      <c r="K179" s="71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</row>
    <row r="180">
      <c r="A180" s="66"/>
      <c r="B180" s="66"/>
      <c r="C180" s="66"/>
      <c r="D180" s="26"/>
      <c r="E180" s="67"/>
      <c r="F180" s="67"/>
      <c r="G180" s="69"/>
      <c r="H180" s="69"/>
      <c r="I180" s="69"/>
      <c r="J180" s="70"/>
      <c r="K180" s="71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</row>
    <row r="181">
      <c r="A181" s="66"/>
      <c r="B181" s="66"/>
      <c r="C181" s="66"/>
      <c r="D181" s="26"/>
      <c r="E181" s="67"/>
      <c r="F181" s="67"/>
      <c r="G181" s="69"/>
      <c r="H181" s="69"/>
      <c r="I181" s="69"/>
      <c r="J181" s="70"/>
      <c r="K181" s="71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</row>
    <row r="182">
      <c r="A182" s="66"/>
      <c r="B182" s="66"/>
      <c r="C182" s="66"/>
      <c r="D182" s="26"/>
      <c r="E182" s="67"/>
      <c r="F182" s="67"/>
      <c r="G182" s="69"/>
      <c r="H182" s="69"/>
      <c r="I182" s="69"/>
      <c r="J182" s="70"/>
      <c r="K182" s="71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</row>
    <row r="183">
      <c r="A183" s="66"/>
      <c r="B183" s="66"/>
      <c r="C183" s="66"/>
      <c r="D183" s="26"/>
      <c r="E183" s="67"/>
      <c r="F183" s="67"/>
      <c r="G183" s="69"/>
      <c r="H183" s="69"/>
      <c r="I183" s="69"/>
      <c r="J183" s="70"/>
      <c r="K183" s="71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</row>
    <row r="184">
      <c r="A184" s="66"/>
      <c r="B184" s="66"/>
      <c r="C184" s="66"/>
      <c r="D184" s="26"/>
      <c r="E184" s="67"/>
      <c r="F184" s="67"/>
      <c r="G184" s="69"/>
      <c r="H184" s="69"/>
      <c r="I184" s="69"/>
      <c r="J184" s="70"/>
      <c r="K184" s="71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</row>
    <row r="185">
      <c r="A185" s="66"/>
      <c r="B185" s="66"/>
      <c r="C185" s="66"/>
      <c r="D185" s="26"/>
      <c r="E185" s="67"/>
      <c r="F185" s="67"/>
      <c r="G185" s="69"/>
      <c r="H185" s="69"/>
      <c r="I185" s="69"/>
      <c r="J185" s="70"/>
      <c r="K185" s="71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</row>
    <row r="186">
      <c r="A186" s="66"/>
      <c r="B186" s="66"/>
      <c r="C186" s="66"/>
      <c r="D186" s="26"/>
      <c r="E186" s="67"/>
      <c r="F186" s="67"/>
      <c r="G186" s="69"/>
      <c r="H186" s="69"/>
      <c r="I186" s="69"/>
      <c r="J186" s="70"/>
      <c r="K186" s="71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</row>
    <row r="187">
      <c r="A187" s="66"/>
      <c r="B187" s="66"/>
      <c r="C187" s="66"/>
      <c r="D187" s="26"/>
      <c r="E187" s="67"/>
      <c r="F187" s="67"/>
      <c r="G187" s="69"/>
      <c r="H187" s="69"/>
      <c r="I187" s="69"/>
      <c r="J187" s="70"/>
      <c r="K187" s="71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</row>
    <row r="188">
      <c r="A188" s="66"/>
      <c r="B188" s="66"/>
      <c r="C188" s="66"/>
      <c r="D188" s="26"/>
      <c r="E188" s="67"/>
      <c r="F188" s="67"/>
      <c r="G188" s="69"/>
      <c r="H188" s="69"/>
      <c r="I188" s="69"/>
      <c r="J188" s="70"/>
      <c r="K188" s="71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</row>
    <row r="189">
      <c r="A189" s="66"/>
      <c r="B189" s="66"/>
      <c r="C189" s="66"/>
      <c r="D189" s="26"/>
      <c r="E189" s="67"/>
      <c r="F189" s="67"/>
      <c r="G189" s="69"/>
      <c r="H189" s="69"/>
      <c r="I189" s="69"/>
      <c r="J189" s="70"/>
      <c r="K189" s="71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</row>
    <row r="190">
      <c r="A190" s="66"/>
      <c r="B190" s="66"/>
      <c r="C190" s="66"/>
      <c r="D190" s="26"/>
      <c r="E190" s="67"/>
      <c r="F190" s="67"/>
      <c r="G190" s="69"/>
      <c r="H190" s="69"/>
      <c r="I190" s="69"/>
      <c r="J190" s="70"/>
      <c r="K190" s="71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</row>
    <row r="191">
      <c r="A191" s="66"/>
      <c r="B191" s="66"/>
      <c r="C191" s="66"/>
      <c r="D191" s="26"/>
      <c r="E191" s="67"/>
      <c r="F191" s="67"/>
      <c r="G191" s="69"/>
      <c r="H191" s="69"/>
      <c r="I191" s="69"/>
      <c r="J191" s="70"/>
      <c r="K191" s="71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</row>
    <row r="192">
      <c r="A192" s="66"/>
      <c r="B192" s="66"/>
      <c r="C192" s="66"/>
      <c r="D192" s="26"/>
      <c r="E192" s="67"/>
      <c r="F192" s="67"/>
      <c r="G192" s="69"/>
      <c r="H192" s="69"/>
      <c r="I192" s="69"/>
      <c r="J192" s="70"/>
      <c r="K192" s="71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</row>
    <row r="193">
      <c r="A193" s="66"/>
      <c r="B193" s="66"/>
      <c r="C193" s="66"/>
      <c r="D193" s="26"/>
      <c r="E193" s="67"/>
      <c r="F193" s="67"/>
      <c r="G193" s="69"/>
      <c r="H193" s="69"/>
      <c r="I193" s="69"/>
      <c r="J193" s="70"/>
      <c r="K193" s="71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</row>
    <row r="194">
      <c r="A194" s="66"/>
      <c r="B194" s="66"/>
      <c r="C194" s="66"/>
      <c r="D194" s="26"/>
      <c r="E194" s="67"/>
      <c r="F194" s="67"/>
      <c r="G194" s="69"/>
      <c r="H194" s="69"/>
      <c r="I194" s="69"/>
      <c r="J194" s="70"/>
      <c r="K194" s="71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</row>
    <row r="195">
      <c r="A195" s="66"/>
      <c r="B195" s="66"/>
      <c r="C195" s="66"/>
      <c r="D195" s="26"/>
      <c r="E195" s="67"/>
      <c r="F195" s="67"/>
      <c r="G195" s="69"/>
      <c r="H195" s="69"/>
      <c r="I195" s="69"/>
      <c r="J195" s="70"/>
      <c r="K195" s="71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</row>
    <row r="196">
      <c r="A196" s="66"/>
      <c r="B196" s="66"/>
      <c r="C196" s="66"/>
      <c r="D196" s="26"/>
      <c r="E196" s="67"/>
      <c r="F196" s="67"/>
      <c r="G196" s="69"/>
      <c r="H196" s="69"/>
      <c r="I196" s="69"/>
      <c r="J196" s="70"/>
      <c r="K196" s="71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</row>
    <row r="197">
      <c r="A197" s="66"/>
      <c r="B197" s="66"/>
      <c r="C197" s="66"/>
      <c r="D197" s="26"/>
      <c r="E197" s="67"/>
      <c r="F197" s="67"/>
      <c r="G197" s="69"/>
      <c r="H197" s="69"/>
      <c r="I197" s="69"/>
      <c r="J197" s="70"/>
      <c r="K197" s="71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</row>
    <row r="198">
      <c r="A198" s="66"/>
      <c r="B198" s="66"/>
      <c r="C198" s="66"/>
      <c r="D198" s="26"/>
      <c r="E198" s="67"/>
      <c r="F198" s="67"/>
      <c r="G198" s="69"/>
      <c r="H198" s="69"/>
      <c r="I198" s="69"/>
      <c r="J198" s="70"/>
      <c r="K198" s="71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</row>
    <row r="199">
      <c r="A199" s="66"/>
      <c r="B199" s="66"/>
      <c r="C199" s="66"/>
      <c r="D199" s="26"/>
      <c r="E199" s="67"/>
      <c r="F199" s="67"/>
      <c r="G199" s="69"/>
      <c r="H199" s="69"/>
      <c r="I199" s="69"/>
      <c r="J199" s="70"/>
      <c r="K199" s="71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</row>
    <row r="200">
      <c r="A200" s="66"/>
      <c r="B200" s="66"/>
      <c r="C200" s="66"/>
      <c r="D200" s="26"/>
      <c r="E200" s="67"/>
      <c r="F200" s="67"/>
      <c r="G200" s="69"/>
      <c r="H200" s="69"/>
      <c r="I200" s="69"/>
      <c r="J200" s="70"/>
      <c r="K200" s="71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</row>
    <row r="201">
      <c r="A201" s="66"/>
      <c r="B201" s="66"/>
      <c r="C201" s="66"/>
      <c r="D201" s="26"/>
      <c r="E201" s="67"/>
      <c r="F201" s="67"/>
      <c r="G201" s="69"/>
      <c r="H201" s="69"/>
      <c r="I201" s="69"/>
      <c r="J201" s="70"/>
      <c r="K201" s="71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</row>
    <row r="202">
      <c r="A202" s="66"/>
      <c r="B202" s="66"/>
      <c r="C202" s="66"/>
      <c r="D202" s="26"/>
      <c r="E202" s="67"/>
      <c r="F202" s="67"/>
      <c r="G202" s="69"/>
      <c r="H202" s="69"/>
      <c r="I202" s="69"/>
      <c r="J202" s="70"/>
      <c r="K202" s="71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</row>
    <row r="203">
      <c r="A203" s="66"/>
      <c r="B203" s="66"/>
      <c r="C203" s="66"/>
      <c r="D203" s="26"/>
      <c r="E203" s="67"/>
      <c r="F203" s="67"/>
      <c r="G203" s="69"/>
      <c r="H203" s="69"/>
      <c r="I203" s="69"/>
      <c r="J203" s="70"/>
      <c r="K203" s="71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</row>
    <row r="204">
      <c r="A204" s="66"/>
      <c r="B204" s="66"/>
      <c r="C204" s="66"/>
      <c r="D204" s="26"/>
      <c r="E204" s="67"/>
      <c r="F204" s="67"/>
      <c r="G204" s="69"/>
      <c r="H204" s="69"/>
      <c r="I204" s="69"/>
      <c r="J204" s="70"/>
      <c r="K204" s="71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</row>
    <row r="205">
      <c r="A205" s="66"/>
      <c r="B205" s="66"/>
      <c r="C205" s="66"/>
      <c r="D205" s="26"/>
      <c r="E205" s="67"/>
      <c r="F205" s="67"/>
      <c r="G205" s="69"/>
      <c r="H205" s="69"/>
      <c r="I205" s="69"/>
      <c r="J205" s="70"/>
      <c r="K205" s="71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</row>
    <row r="206">
      <c r="A206" s="66"/>
      <c r="B206" s="66"/>
      <c r="C206" s="66"/>
      <c r="D206" s="26"/>
      <c r="E206" s="67"/>
      <c r="F206" s="67"/>
      <c r="G206" s="69"/>
      <c r="H206" s="69"/>
      <c r="I206" s="69"/>
      <c r="J206" s="70"/>
      <c r="K206" s="71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</row>
    <row r="207">
      <c r="A207" s="66"/>
      <c r="B207" s="66"/>
      <c r="C207" s="66"/>
      <c r="D207" s="26"/>
      <c r="E207" s="67"/>
      <c r="F207" s="67"/>
      <c r="G207" s="69"/>
      <c r="H207" s="69"/>
      <c r="I207" s="69"/>
      <c r="J207" s="70"/>
      <c r="K207" s="71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</row>
    <row r="208">
      <c r="A208" s="66"/>
      <c r="B208" s="66"/>
      <c r="C208" s="66"/>
      <c r="D208" s="26"/>
      <c r="E208" s="67"/>
      <c r="F208" s="67"/>
      <c r="G208" s="69"/>
      <c r="H208" s="69"/>
      <c r="I208" s="69"/>
      <c r="J208" s="70"/>
      <c r="K208" s="71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</row>
    <row r="209">
      <c r="A209" s="66"/>
      <c r="B209" s="66"/>
      <c r="C209" s="66"/>
      <c r="D209" s="26"/>
      <c r="E209" s="67"/>
      <c r="F209" s="67"/>
      <c r="G209" s="69"/>
      <c r="H209" s="69"/>
      <c r="I209" s="69"/>
      <c r="J209" s="70"/>
      <c r="K209" s="71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</row>
    <row r="210">
      <c r="A210" s="66"/>
      <c r="B210" s="66"/>
      <c r="C210" s="66"/>
      <c r="D210" s="26"/>
      <c r="E210" s="67"/>
      <c r="F210" s="67"/>
      <c r="G210" s="69"/>
      <c r="H210" s="69"/>
      <c r="I210" s="69"/>
      <c r="J210" s="70"/>
      <c r="K210" s="71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</row>
    <row r="211">
      <c r="A211" s="66"/>
      <c r="B211" s="66"/>
      <c r="C211" s="66"/>
      <c r="D211" s="26"/>
      <c r="E211" s="67"/>
      <c r="F211" s="67"/>
      <c r="G211" s="69"/>
      <c r="H211" s="69"/>
      <c r="I211" s="69"/>
      <c r="J211" s="70"/>
      <c r="K211" s="71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</row>
    <row r="212">
      <c r="A212" s="66"/>
      <c r="B212" s="66"/>
      <c r="C212" s="66"/>
      <c r="D212" s="26"/>
      <c r="E212" s="67"/>
      <c r="F212" s="67"/>
      <c r="G212" s="69"/>
      <c r="H212" s="69"/>
      <c r="I212" s="69"/>
      <c r="J212" s="70"/>
      <c r="K212" s="71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</row>
    <row r="213">
      <c r="A213" s="66"/>
      <c r="B213" s="66"/>
      <c r="C213" s="66"/>
      <c r="D213" s="26"/>
      <c r="E213" s="67"/>
      <c r="F213" s="67"/>
      <c r="G213" s="69"/>
      <c r="H213" s="69"/>
      <c r="I213" s="69"/>
      <c r="J213" s="70"/>
      <c r="K213" s="71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</row>
    <row r="214">
      <c r="A214" s="66"/>
      <c r="B214" s="66"/>
      <c r="C214" s="66"/>
      <c r="D214" s="26"/>
      <c r="E214" s="67"/>
      <c r="F214" s="67"/>
      <c r="G214" s="69"/>
      <c r="H214" s="69"/>
      <c r="I214" s="69"/>
      <c r="J214" s="70"/>
      <c r="K214" s="71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</row>
    <row r="215">
      <c r="A215" s="66"/>
      <c r="B215" s="66"/>
      <c r="C215" s="66"/>
      <c r="D215" s="26"/>
      <c r="E215" s="67"/>
      <c r="F215" s="67"/>
      <c r="G215" s="69"/>
      <c r="H215" s="69"/>
      <c r="I215" s="69"/>
      <c r="J215" s="70"/>
      <c r="K215" s="71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</row>
    <row r="216">
      <c r="A216" s="66"/>
      <c r="B216" s="66"/>
      <c r="C216" s="66"/>
      <c r="D216" s="26"/>
      <c r="E216" s="67"/>
      <c r="F216" s="67"/>
      <c r="G216" s="69"/>
      <c r="H216" s="69"/>
      <c r="I216" s="69"/>
      <c r="J216" s="70"/>
      <c r="K216" s="71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</row>
    <row r="217">
      <c r="A217" s="66"/>
      <c r="B217" s="66"/>
      <c r="C217" s="66"/>
      <c r="D217" s="26"/>
      <c r="E217" s="67"/>
      <c r="F217" s="67"/>
      <c r="G217" s="69"/>
      <c r="H217" s="69"/>
      <c r="I217" s="69"/>
      <c r="J217" s="70"/>
      <c r="K217" s="71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</row>
    <row r="218">
      <c r="A218" s="66"/>
      <c r="B218" s="66"/>
      <c r="C218" s="66"/>
      <c r="D218" s="26"/>
      <c r="E218" s="67"/>
      <c r="F218" s="67"/>
      <c r="G218" s="69"/>
      <c r="H218" s="69"/>
      <c r="I218" s="69"/>
      <c r="J218" s="70"/>
      <c r="K218" s="71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</row>
    <row r="219">
      <c r="A219" s="66"/>
      <c r="B219" s="66"/>
      <c r="C219" s="66"/>
      <c r="D219" s="26"/>
      <c r="E219" s="67"/>
      <c r="F219" s="67"/>
      <c r="G219" s="69"/>
      <c r="H219" s="69"/>
      <c r="I219" s="69"/>
      <c r="J219" s="70"/>
      <c r="K219" s="71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</row>
    <row r="220">
      <c r="A220" s="66"/>
      <c r="B220" s="66"/>
      <c r="C220" s="66"/>
      <c r="D220" s="26"/>
      <c r="E220" s="67"/>
      <c r="F220" s="67"/>
      <c r="G220" s="69"/>
      <c r="H220" s="69"/>
      <c r="I220" s="69"/>
      <c r="J220" s="70"/>
      <c r="K220" s="71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</row>
    <row r="221">
      <c r="A221" s="66"/>
      <c r="B221" s="66"/>
      <c r="C221" s="66"/>
      <c r="D221" s="26"/>
      <c r="E221" s="67"/>
      <c r="F221" s="67"/>
      <c r="G221" s="69"/>
      <c r="H221" s="69"/>
      <c r="I221" s="69"/>
      <c r="J221" s="70"/>
      <c r="K221" s="71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</row>
    <row r="222">
      <c r="A222" s="66"/>
      <c r="B222" s="66"/>
      <c r="C222" s="66"/>
      <c r="D222" s="26"/>
      <c r="E222" s="67"/>
      <c r="F222" s="67"/>
      <c r="G222" s="69"/>
      <c r="H222" s="69"/>
      <c r="I222" s="69"/>
      <c r="J222" s="70"/>
      <c r="K222" s="71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</row>
    <row r="223">
      <c r="A223" s="66"/>
      <c r="B223" s="66"/>
      <c r="C223" s="66"/>
      <c r="D223" s="26"/>
      <c r="E223" s="67"/>
      <c r="F223" s="67"/>
      <c r="G223" s="69"/>
      <c r="H223" s="69"/>
      <c r="I223" s="69"/>
      <c r="J223" s="70"/>
      <c r="K223" s="71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</row>
    <row r="224">
      <c r="A224" s="66"/>
      <c r="B224" s="66"/>
      <c r="C224" s="66"/>
      <c r="D224" s="26"/>
      <c r="E224" s="67"/>
      <c r="F224" s="67"/>
      <c r="G224" s="69"/>
      <c r="H224" s="69"/>
      <c r="I224" s="69"/>
      <c r="J224" s="70"/>
      <c r="K224" s="71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</row>
    <row r="225">
      <c r="A225" s="66"/>
      <c r="B225" s="66"/>
      <c r="C225" s="66"/>
      <c r="D225" s="26"/>
      <c r="E225" s="67"/>
      <c r="F225" s="67"/>
      <c r="G225" s="69"/>
      <c r="H225" s="69"/>
      <c r="I225" s="69"/>
      <c r="J225" s="70"/>
      <c r="K225" s="71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</row>
    <row r="226">
      <c r="A226" s="66"/>
      <c r="B226" s="66"/>
      <c r="C226" s="66"/>
      <c r="D226" s="26"/>
      <c r="E226" s="67"/>
      <c r="F226" s="67"/>
      <c r="G226" s="69"/>
      <c r="H226" s="69"/>
      <c r="I226" s="69"/>
      <c r="J226" s="70"/>
      <c r="K226" s="71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</row>
    <row r="227">
      <c r="A227" s="66"/>
      <c r="B227" s="66"/>
      <c r="C227" s="66"/>
      <c r="D227" s="26"/>
      <c r="E227" s="67"/>
      <c r="F227" s="67"/>
      <c r="G227" s="69"/>
      <c r="H227" s="69"/>
      <c r="I227" s="69"/>
      <c r="J227" s="70"/>
      <c r="K227" s="71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</row>
    <row r="228">
      <c r="A228" s="66"/>
      <c r="B228" s="66"/>
      <c r="C228" s="66"/>
      <c r="D228" s="26"/>
      <c r="E228" s="67"/>
      <c r="F228" s="67"/>
      <c r="G228" s="69"/>
      <c r="H228" s="69"/>
      <c r="I228" s="69"/>
      <c r="J228" s="70"/>
      <c r="K228" s="71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</row>
    <row r="229">
      <c r="A229" s="66"/>
      <c r="B229" s="66"/>
      <c r="C229" s="66"/>
      <c r="D229" s="26"/>
      <c r="E229" s="67"/>
      <c r="F229" s="67"/>
      <c r="G229" s="69"/>
      <c r="H229" s="69"/>
      <c r="I229" s="69"/>
      <c r="J229" s="70"/>
      <c r="K229" s="71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</row>
    <row r="230">
      <c r="A230" s="66"/>
      <c r="B230" s="66"/>
      <c r="C230" s="66"/>
      <c r="D230" s="26"/>
      <c r="E230" s="67"/>
      <c r="F230" s="67"/>
      <c r="G230" s="69"/>
      <c r="H230" s="69"/>
      <c r="I230" s="69"/>
      <c r="J230" s="70"/>
      <c r="K230" s="71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</row>
    <row r="231">
      <c r="A231" s="66"/>
      <c r="B231" s="66"/>
      <c r="C231" s="66"/>
      <c r="D231" s="26"/>
      <c r="E231" s="67"/>
      <c r="F231" s="67"/>
      <c r="G231" s="69"/>
      <c r="H231" s="69"/>
      <c r="I231" s="69"/>
      <c r="J231" s="70"/>
      <c r="K231" s="71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</row>
    <row r="232">
      <c r="A232" s="66"/>
      <c r="B232" s="66"/>
      <c r="C232" s="66"/>
      <c r="D232" s="26"/>
      <c r="E232" s="67"/>
      <c r="F232" s="67"/>
      <c r="G232" s="69"/>
      <c r="H232" s="69"/>
      <c r="I232" s="69"/>
      <c r="J232" s="70"/>
      <c r="K232" s="71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</row>
    <row r="233">
      <c r="A233" s="66"/>
      <c r="B233" s="66"/>
      <c r="C233" s="66"/>
      <c r="D233" s="26"/>
      <c r="E233" s="67"/>
      <c r="F233" s="67"/>
      <c r="G233" s="69"/>
      <c r="H233" s="69"/>
      <c r="I233" s="69"/>
      <c r="J233" s="70"/>
      <c r="K233" s="71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</row>
    <row r="234">
      <c r="A234" s="66"/>
      <c r="B234" s="66"/>
      <c r="C234" s="66"/>
      <c r="D234" s="26"/>
      <c r="E234" s="67"/>
      <c r="F234" s="67"/>
      <c r="G234" s="69"/>
      <c r="H234" s="69"/>
      <c r="I234" s="69"/>
      <c r="J234" s="70"/>
      <c r="K234" s="71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</row>
    <row r="235">
      <c r="A235" s="66"/>
      <c r="B235" s="66"/>
      <c r="C235" s="66"/>
      <c r="D235" s="26"/>
      <c r="E235" s="67"/>
      <c r="F235" s="67"/>
      <c r="G235" s="69"/>
      <c r="H235" s="69"/>
      <c r="I235" s="69"/>
      <c r="J235" s="70"/>
      <c r="K235" s="71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</row>
    <row r="236">
      <c r="A236" s="66"/>
      <c r="B236" s="66"/>
      <c r="C236" s="66"/>
      <c r="D236" s="26"/>
      <c r="E236" s="67"/>
      <c r="F236" s="67"/>
      <c r="G236" s="69"/>
      <c r="H236" s="69"/>
      <c r="I236" s="69"/>
      <c r="J236" s="70"/>
      <c r="K236" s="71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</row>
    <row r="237">
      <c r="A237" s="66"/>
      <c r="B237" s="66"/>
      <c r="C237" s="66"/>
      <c r="D237" s="26"/>
      <c r="E237" s="67"/>
      <c r="F237" s="67"/>
      <c r="G237" s="69"/>
      <c r="H237" s="69"/>
      <c r="I237" s="69"/>
      <c r="J237" s="70"/>
      <c r="K237" s="71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</row>
    <row r="238">
      <c r="A238" s="66"/>
      <c r="B238" s="66"/>
      <c r="C238" s="66"/>
      <c r="D238" s="26"/>
      <c r="E238" s="67"/>
      <c r="F238" s="67"/>
      <c r="G238" s="69"/>
      <c r="H238" s="69"/>
      <c r="I238" s="69"/>
      <c r="J238" s="70"/>
      <c r="K238" s="71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</row>
    <row r="239">
      <c r="A239" s="66"/>
      <c r="B239" s="66"/>
      <c r="C239" s="66"/>
      <c r="D239" s="26"/>
      <c r="E239" s="67"/>
      <c r="F239" s="67"/>
      <c r="G239" s="69"/>
      <c r="H239" s="69"/>
      <c r="I239" s="69"/>
      <c r="J239" s="70"/>
      <c r="K239" s="71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</row>
    <row r="240">
      <c r="A240" s="66"/>
      <c r="B240" s="66"/>
      <c r="C240" s="66"/>
      <c r="D240" s="26"/>
      <c r="E240" s="67"/>
      <c r="F240" s="67"/>
      <c r="G240" s="69"/>
      <c r="H240" s="69"/>
      <c r="I240" s="69"/>
      <c r="J240" s="70"/>
      <c r="K240" s="71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</row>
    <row r="241">
      <c r="A241" s="66"/>
      <c r="B241" s="66"/>
      <c r="C241" s="66"/>
      <c r="D241" s="26"/>
      <c r="E241" s="67"/>
      <c r="F241" s="67"/>
      <c r="G241" s="69"/>
      <c r="H241" s="69"/>
      <c r="I241" s="69"/>
      <c r="J241" s="70"/>
      <c r="K241" s="71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</row>
    <row r="242">
      <c r="A242" s="66"/>
      <c r="B242" s="66"/>
      <c r="C242" s="66"/>
      <c r="D242" s="26"/>
      <c r="E242" s="67"/>
      <c r="F242" s="67"/>
      <c r="G242" s="69"/>
      <c r="H242" s="69"/>
      <c r="I242" s="69"/>
      <c r="J242" s="70"/>
      <c r="K242" s="71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</row>
    <row r="243">
      <c r="A243" s="66"/>
      <c r="B243" s="66"/>
      <c r="C243" s="66"/>
      <c r="D243" s="26"/>
      <c r="E243" s="67"/>
      <c r="F243" s="67"/>
      <c r="G243" s="69"/>
      <c r="H243" s="69"/>
      <c r="I243" s="69"/>
      <c r="J243" s="70"/>
      <c r="K243" s="71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</row>
    <row r="244">
      <c r="A244" s="66"/>
      <c r="B244" s="66"/>
      <c r="C244" s="66"/>
      <c r="D244" s="26"/>
      <c r="E244" s="67"/>
      <c r="F244" s="67"/>
      <c r="G244" s="69"/>
      <c r="H244" s="69"/>
      <c r="I244" s="69"/>
      <c r="J244" s="70"/>
      <c r="K244" s="71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</row>
    <row r="245">
      <c r="A245" s="66"/>
      <c r="B245" s="66"/>
      <c r="C245" s="66"/>
      <c r="D245" s="26"/>
      <c r="E245" s="67"/>
      <c r="F245" s="67"/>
      <c r="G245" s="69"/>
      <c r="H245" s="69"/>
      <c r="I245" s="69"/>
      <c r="J245" s="70"/>
      <c r="K245" s="71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</row>
    <row r="246">
      <c r="A246" s="66"/>
      <c r="B246" s="66"/>
      <c r="C246" s="66"/>
      <c r="D246" s="26"/>
      <c r="E246" s="67"/>
      <c r="F246" s="67"/>
      <c r="G246" s="69"/>
      <c r="H246" s="69"/>
      <c r="I246" s="69"/>
      <c r="J246" s="70"/>
      <c r="K246" s="71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</row>
    <row r="247">
      <c r="A247" s="66"/>
      <c r="B247" s="66"/>
      <c r="C247" s="66"/>
      <c r="D247" s="26"/>
      <c r="E247" s="67"/>
      <c r="F247" s="67"/>
      <c r="G247" s="69"/>
      <c r="H247" s="69"/>
      <c r="I247" s="69"/>
      <c r="J247" s="70"/>
      <c r="K247" s="71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</row>
    <row r="248">
      <c r="A248" s="66"/>
      <c r="B248" s="66"/>
      <c r="C248" s="66"/>
      <c r="D248" s="26"/>
      <c r="E248" s="67"/>
      <c r="F248" s="67"/>
      <c r="G248" s="69"/>
      <c r="H248" s="69"/>
      <c r="I248" s="69"/>
      <c r="J248" s="70"/>
      <c r="K248" s="71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</row>
    <row r="249">
      <c r="A249" s="66"/>
      <c r="B249" s="66"/>
      <c r="C249" s="66"/>
      <c r="D249" s="26"/>
      <c r="E249" s="67"/>
      <c r="F249" s="67"/>
      <c r="G249" s="69"/>
      <c r="H249" s="69"/>
      <c r="I249" s="69"/>
      <c r="J249" s="70"/>
      <c r="K249" s="71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</row>
    <row r="250">
      <c r="A250" s="66"/>
      <c r="B250" s="66"/>
      <c r="C250" s="66"/>
      <c r="D250" s="26"/>
      <c r="E250" s="67"/>
      <c r="F250" s="67"/>
      <c r="G250" s="69"/>
      <c r="H250" s="69"/>
      <c r="I250" s="69"/>
      <c r="J250" s="70"/>
      <c r="K250" s="71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</row>
    <row r="251">
      <c r="A251" s="66"/>
      <c r="B251" s="66"/>
      <c r="C251" s="66"/>
      <c r="D251" s="26"/>
      <c r="E251" s="67"/>
      <c r="F251" s="67"/>
      <c r="G251" s="69"/>
      <c r="H251" s="69"/>
      <c r="I251" s="69"/>
      <c r="J251" s="70"/>
      <c r="K251" s="71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</row>
    <row r="252">
      <c r="A252" s="66"/>
      <c r="B252" s="66"/>
      <c r="C252" s="66"/>
      <c r="D252" s="26"/>
      <c r="E252" s="67"/>
      <c r="F252" s="67"/>
      <c r="G252" s="69"/>
      <c r="H252" s="69"/>
      <c r="I252" s="69"/>
      <c r="J252" s="70"/>
      <c r="K252" s="71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</row>
    <row r="253">
      <c r="A253" s="66"/>
      <c r="B253" s="66"/>
      <c r="C253" s="66"/>
      <c r="D253" s="26"/>
      <c r="E253" s="67"/>
      <c r="F253" s="67"/>
      <c r="G253" s="69"/>
      <c r="H253" s="69"/>
      <c r="I253" s="69"/>
      <c r="J253" s="70"/>
      <c r="K253" s="71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</row>
    <row r="254">
      <c r="A254" s="66"/>
      <c r="B254" s="66"/>
      <c r="C254" s="66"/>
      <c r="D254" s="26"/>
      <c r="E254" s="67"/>
      <c r="F254" s="67"/>
      <c r="G254" s="69"/>
      <c r="H254" s="69"/>
      <c r="I254" s="69"/>
      <c r="J254" s="70"/>
      <c r="K254" s="71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</row>
    <row r="255">
      <c r="A255" s="66"/>
      <c r="B255" s="66"/>
      <c r="C255" s="66"/>
      <c r="D255" s="26"/>
      <c r="E255" s="67"/>
      <c r="F255" s="67"/>
      <c r="G255" s="69"/>
      <c r="H255" s="69"/>
      <c r="I255" s="69"/>
      <c r="J255" s="70"/>
      <c r="K255" s="71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</row>
    <row r="256">
      <c r="A256" s="66"/>
      <c r="B256" s="66"/>
      <c r="C256" s="66"/>
      <c r="D256" s="26"/>
      <c r="E256" s="67"/>
      <c r="F256" s="67"/>
      <c r="G256" s="69"/>
      <c r="H256" s="69"/>
      <c r="I256" s="69"/>
      <c r="J256" s="70"/>
      <c r="K256" s="71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</row>
    <row r="257">
      <c r="A257" s="66"/>
      <c r="B257" s="66"/>
      <c r="C257" s="66"/>
      <c r="D257" s="26"/>
      <c r="E257" s="67"/>
      <c r="F257" s="67"/>
      <c r="G257" s="69"/>
      <c r="H257" s="69"/>
      <c r="I257" s="69"/>
      <c r="J257" s="70"/>
      <c r="K257" s="71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</row>
    <row r="258">
      <c r="A258" s="66"/>
      <c r="B258" s="66"/>
      <c r="C258" s="66"/>
      <c r="D258" s="26"/>
      <c r="E258" s="67"/>
      <c r="F258" s="67"/>
      <c r="G258" s="69"/>
      <c r="H258" s="69"/>
      <c r="I258" s="69"/>
      <c r="J258" s="70"/>
      <c r="K258" s="71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</row>
    <row r="259">
      <c r="A259" s="66"/>
      <c r="B259" s="66"/>
      <c r="C259" s="66"/>
      <c r="D259" s="26"/>
      <c r="E259" s="67"/>
      <c r="F259" s="67"/>
      <c r="G259" s="69"/>
      <c r="H259" s="69"/>
      <c r="I259" s="69"/>
      <c r="J259" s="70"/>
      <c r="K259" s="71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</row>
    <row r="260">
      <c r="A260" s="66"/>
      <c r="B260" s="66"/>
      <c r="C260" s="66"/>
      <c r="D260" s="26"/>
      <c r="E260" s="67"/>
      <c r="F260" s="67"/>
      <c r="G260" s="69"/>
      <c r="H260" s="69"/>
      <c r="I260" s="69"/>
      <c r="J260" s="70"/>
      <c r="K260" s="71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</row>
    <row r="261">
      <c r="A261" s="66"/>
      <c r="B261" s="66"/>
      <c r="C261" s="66"/>
      <c r="D261" s="26"/>
      <c r="E261" s="67"/>
      <c r="F261" s="67"/>
      <c r="G261" s="69"/>
      <c r="H261" s="69"/>
      <c r="I261" s="69"/>
      <c r="J261" s="70"/>
      <c r="K261" s="71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</row>
    <row r="262">
      <c r="A262" s="66"/>
      <c r="B262" s="66"/>
      <c r="C262" s="66"/>
      <c r="D262" s="26"/>
      <c r="E262" s="67"/>
      <c r="F262" s="67"/>
      <c r="G262" s="69"/>
      <c r="H262" s="69"/>
      <c r="I262" s="69"/>
      <c r="J262" s="70"/>
      <c r="K262" s="71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</row>
    <row r="263">
      <c r="A263" s="66"/>
      <c r="B263" s="66"/>
      <c r="C263" s="66"/>
      <c r="D263" s="26"/>
      <c r="E263" s="67"/>
      <c r="F263" s="67"/>
      <c r="G263" s="69"/>
      <c r="H263" s="69"/>
      <c r="I263" s="69"/>
      <c r="J263" s="70"/>
      <c r="K263" s="71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</row>
    <row r="264">
      <c r="A264" s="66"/>
      <c r="B264" s="66"/>
      <c r="C264" s="66"/>
      <c r="D264" s="26"/>
      <c r="E264" s="67"/>
      <c r="F264" s="67"/>
      <c r="G264" s="69"/>
      <c r="H264" s="69"/>
      <c r="I264" s="69"/>
      <c r="J264" s="70"/>
      <c r="K264" s="71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</row>
    <row r="265">
      <c r="A265" s="66"/>
      <c r="B265" s="66"/>
      <c r="C265" s="66"/>
      <c r="D265" s="26"/>
      <c r="E265" s="67"/>
      <c r="F265" s="67"/>
      <c r="G265" s="69"/>
      <c r="H265" s="69"/>
      <c r="I265" s="69"/>
      <c r="J265" s="70"/>
      <c r="K265" s="71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</row>
    <row r="266">
      <c r="A266" s="66"/>
      <c r="B266" s="66"/>
      <c r="C266" s="66"/>
      <c r="D266" s="26"/>
      <c r="E266" s="67"/>
      <c r="F266" s="67"/>
      <c r="G266" s="69"/>
      <c r="H266" s="69"/>
      <c r="I266" s="69"/>
      <c r="J266" s="70"/>
      <c r="K266" s="71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</row>
    <row r="267">
      <c r="A267" s="66"/>
      <c r="B267" s="66"/>
      <c r="C267" s="66"/>
      <c r="D267" s="26"/>
      <c r="E267" s="67"/>
      <c r="F267" s="67"/>
      <c r="G267" s="69"/>
      <c r="H267" s="69"/>
      <c r="I267" s="69"/>
      <c r="J267" s="70"/>
      <c r="K267" s="71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</row>
    <row r="268">
      <c r="A268" s="66"/>
      <c r="B268" s="66"/>
      <c r="C268" s="66"/>
      <c r="D268" s="26"/>
      <c r="E268" s="67"/>
      <c r="F268" s="67"/>
      <c r="G268" s="69"/>
      <c r="H268" s="69"/>
      <c r="I268" s="69"/>
      <c r="J268" s="70"/>
      <c r="K268" s="71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</row>
    <row r="269">
      <c r="A269" s="66"/>
      <c r="B269" s="66"/>
      <c r="C269" s="66"/>
      <c r="D269" s="26"/>
      <c r="E269" s="67"/>
      <c r="F269" s="67"/>
      <c r="G269" s="69"/>
      <c r="H269" s="69"/>
      <c r="I269" s="69"/>
      <c r="J269" s="70"/>
      <c r="K269" s="71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</row>
    <row r="270">
      <c r="A270" s="66"/>
      <c r="B270" s="66"/>
      <c r="C270" s="66"/>
      <c r="D270" s="26"/>
      <c r="E270" s="67"/>
      <c r="F270" s="67"/>
      <c r="G270" s="69"/>
      <c r="H270" s="69"/>
      <c r="I270" s="69"/>
      <c r="J270" s="70"/>
      <c r="K270" s="71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</row>
    <row r="271">
      <c r="A271" s="66"/>
      <c r="B271" s="66"/>
      <c r="C271" s="66"/>
      <c r="D271" s="26"/>
      <c r="E271" s="67"/>
      <c r="F271" s="67"/>
      <c r="G271" s="69"/>
      <c r="H271" s="69"/>
      <c r="I271" s="69"/>
      <c r="J271" s="70"/>
      <c r="K271" s="71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</row>
    <row r="272">
      <c r="A272" s="66"/>
      <c r="B272" s="66"/>
      <c r="C272" s="66"/>
      <c r="D272" s="26"/>
      <c r="E272" s="67"/>
      <c r="F272" s="67"/>
      <c r="G272" s="69"/>
      <c r="H272" s="69"/>
      <c r="I272" s="69"/>
      <c r="J272" s="70"/>
      <c r="K272" s="71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</row>
    <row r="273">
      <c r="A273" s="66"/>
      <c r="B273" s="66"/>
      <c r="C273" s="66"/>
      <c r="D273" s="26"/>
      <c r="E273" s="67"/>
      <c r="F273" s="67"/>
      <c r="G273" s="69"/>
      <c r="H273" s="69"/>
      <c r="I273" s="69"/>
      <c r="J273" s="70"/>
      <c r="K273" s="71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</row>
    <row r="274">
      <c r="A274" s="66"/>
      <c r="B274" s="66"/>
      <c r="C274" s="66"/>
      <c r="D274" s="26"/>
      <c r="E274" s="67"/>
      <c r="F274" s="67"/>
      <c r="G274" s="69"/>
      <c r="H274" s="69"/>
      <c r="I274" s="69"/>
      <c r="J274" s="70"/>
      <c r="K274" s="71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</row>
    <row r="275">
      <c r="A275" s="66"/>
      <c r="B275" s="66"/>
      <c r="C275" s="66"/>
      <c r="D275" s="26"/>
      <c r="E275" s="67"/>
      <c r="F275" s="67"/>
      <c r="G275" s="69"/>
      <c r="H275" s="69"/>
      <c r="I275" s="69"/>
      <c r="J275" s="70"/>
      <c r="K275" s="71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</row>
    <row r="276">
      <c r="A276" s="66"/>
      <c r="B276" s="66"/>
      <c r="C276" s="66"/>
      <c r="D276" s="26"/>
      <c r="E276" s="67"/>
      <c r="F276" s="67"/>
      <c r="G276" s="69"/>
      <c r="H276" s="69"/>
      <c r="I276" s="69"/>
      <c r="J276" s="70"/>
      <c r="K276" s="71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</row>
    <row r="277">
      <c r="A277" s="66"/>
      <c r="B277" s="66"/>
      <c r="C277" s="66"/>
      <c r="D277" s="26"/>
      <c r="E277" s="67"/>
      <c r="F277" s="67"/>
      <c r="G277" s="69"/>
      <c r="H277" s="69"/>
      <c r="I277" s="69"/>
      <c r="J277" s="70"/>
      <c r="K277" s="71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</row>
    <row r="278">
      <c r="A278" s="66"/>
      <c r="B278" s="66"/>
      <c r="C278" s="66"/>
      <c r="D278" s="26"/>
      <c r="E278" s="67"/>
      <c r="F278" s="67"/>
      <c r="G278" s="69"/>
      <c r="H278" s="69"/>
      <c r="I278" s="69"/>
      <c r="J278" s="70"/>
      <c r="K278" s="71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</row>
    <row r="279">
      <c r="A279" s="66"/>
      <c r="B279" s="66"/>
      <c r="C279" s="66"/>
      <c r="D279" s="26"/>
      <c r="E279" s="67"/>
      <c r="F279" s="67"/>
      <c r="G279" s="69"/>
      <c r="H279" s="69"/>
      <c r="I279" s="69"/>
      <c r="J279" s="70"/>
      <c r="K279" s="71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</row>
    <row r="280">
      <c r="A280" s="66"/>
      <c r="B280" s="66"/>
      <c r="C280" s="66"/>
      <c r="D280" s="26"/>
      <c r="E280" s="67"/>
      <c r="F280" s="67"/>
      <c r="G280" s="69"/>
      <c r="H280" s="69"/>
      <c r="I280" s="69"/>
      <c r="J280" s="70"/>
      <c r="K280" s="71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</row>
    <row r="281">
      <c r="A281" s="66"/>
      <c r="B281" s="66"/>
      <c r="C281" s="66"/>
      <c r="D281" s="26"/>
      <c r="E281" s="67"/>
      <c r="F281" s="67"/>
      <c r="G281" s="69"/>
      <c r="H281" s="69"/>
      <c r="I281" s="69"/>
      <c r="J281" s="70"/>
      <c r="K281" s="71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</row>
    <row r="282">
      <c r="A282" s="66"/>
      <c r="B282" s="66"/>
      <c r="C282" s="66"/>
      <c r="D282" s="26"/>
      <c r="E282" s="67"/>
      <c r="F282" s="67"/>
      <c r="G282" s="69"/>
      <c r="H282" s="69"/>
      <c r="I282" s="69"/>
      <c r="J282" s="70"/>
      <c r="K282" s="71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</row>
    <row r="283">
      <c r="A283" s="66"/>
      <c r="B283" s="66"/>
      <c r="C283" s="66"/>
      <c r="D283" s="26"/>
      <c r="E283" s="67"/>
      <c r="F283" s="67"/>
      <c r="G283" s="69"/>
      <c r="H283" s="69"/>
      <c r="I283" s="69"/>
      <c r="J283" s="70"/>
      <c r="K283" s="71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</row>
    <row r="284">
      <c r="A284" s="66"/>
      <c r="B284" s="66"/>
      <c r="C284" s="66"/>
      <c r="D284" s="26"/>
      <c r="E284" s="67"/>
      <c r="F284" s="67"/>
      <c r="G284" s="69"/>
      <c r="H284" s="69"/>
      <c r="I284" s="69"/>
      <c r="J284" s="70"/>
      <c r="K284" s="71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</row>
    <row r="285">
      <c r="A285" s="66"/>
      <c r="B285" s="66"/>
      <c r="C285" s="66"/>
      <c r="D285" s="26"/>
      <c r="E285" s="67"/>
      <c r="F285" s="67"/>
      <c r="G285" s="69"/>
      <c r="H285" s="69"/>
      <c r="I285" s="69"/>
      <c r="J285" s="70"/>
      <c r="K285" s="71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</row>
    <row r="286">
      <c r="A286" s="66"/>
      <c r="B286" s="66"/>
      <c r="C286" s="66"/>
      <c r="D286" s="26"/>
      <c r="E286" s="67"/>
      <c r="F286" s="67"/>
      <c r="G286" s="69"/>
      <c r="H286" s="69"/>
      <c r="I286" s="69"/>
      <c r="J286" s="70"/>
      <c r="K286" s="71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</row>
    <row r="287">
      <c r="A287" s="66"/>
      <c r="B287" s="66"/>
      <c r="C287" s="66"/>
      <c r="D287" s="26"/>
      <c r="E287" s="67"/>
      <c r="F287" s="67"/>
      <c r="G287" s="69"/>
      <c r="H287" s="69"/>
      <c r="I287" s="69"/>
      <c r="J287" s="70"/>
      <c r="K287" s="71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</row>
    <row r="288">
      <c r="A288" s="66"/>
      <c r="B288" s="66"/>
      <c r="C288" s="66"/>
      <c r="D288" s="26"/>
      <c r="E288" s="67"/>
      <c r="F288" s="67"/>
      <c r="G288" s="69"/>
      <c r="H288" s="69"/>
      <c r="I288" s="69"/>
      <c r="J288" s="70"/>
      <c r="K288" s="71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</row>
    <row r="289">
      <c r="A289" s="66"/>
      <c r="B289" s="66"/>
      <c r="C289" s="66"/>
      <c r="D289" s="26"/>
      <c r="E289" s="67"/>
      <c r="F289" s="67"/>
      <c r="G289" s="69"/>
      <c r="H289" s="69"/>
      <c r="I289" s="69"/>
      <c r="J289" s="70"/>
      <c r="K289" s="71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</row>
    <row r="290">
      <c r="A290" s="66"/>
      <c r="B290" s="66"/>
      <c r="C290" s="66"/>
      <c r="D290" s="26"/>
      <c r="E290" s="67"/>
      <c r="F290" s="67"/>
      <c r="G290" s="69"/>
      <c r="H290" s="69"/>
      <c r="I290" s="69"/>
      <c r="J290" s="70"/>
      <c r="K290" s="71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</row>
    <row r="291">
      <c r="A291" s="66"/>
      <c r="B291" s="66"/>
      <c r="C291" s="66"/>
      <c r="D291" s="26"/>
      <c r="E291" s="67"/>
      <c r="F291" s="67"/>
      <c r="G291" s="69"/>
      <c r="H291" s="69"/>
      <c r="I291" s="69"/>
      <c r="J291" s="70"/>
      <c r="K291" s="71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</row>
    <row r="292">
      <c r="A292" s="66"/>
      <c r="B292" s="66"/>
      <c r="C292" s="66"/>
      <c r="D292" s="26"/>
      <c r="E292" s="67"/>
      <c r="F292" s="67"/>
      <c r="G292" s="69"/>
      <c r="H292" s="69"/>
      <c r="I292" s="69"/>
      <c r="J292" s="70"/>
      <c r="K292" s="71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</row>
    <row r="293">
      <c r="A293" s="66"/>
      <c r="B293" s="66"/>
      <c r="C293" s="66"/>
      <c r="D293" s="26"/>
      <c r="E293" s="67"/>
      <c r="F293" s="67"/>
      <c r="G293" s="69"/>
      <c r="H293" s="69"/>
      <c r="I293" s="69"/>
      <c r="J293" s="70"/>
      <c r="K293" s="71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</row>
    <row r="294">
      <c r="A294" s="66"/>
      <c r="B294" s="66"/>
      <c r="C294" s="66"/>
      <c r="D294" s="26"/>
      <c r="E294" s="67"/>
      <c r="F294" s="67"/>
      <c r="G294" s="69"/>
      <c r="H294" s="69"/>
      <c r="I294" s="69"/>
      <c r="J294" s="70"/>
      <c r="K294" s="71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</row>
    <row r="295">
      <c r="A295" s="66"/>
      <c r="B295" s="66"/>
      <c r="C295" s="66"/>
      <c r="D295" s="26"/>
      <c r="E295" s="67"/>
      <c r="F295" s="67"/>
      <c r="G295" s="69"/>
      <c r="H295" s="69"/>
      <c r="I295" s="69"/>
      <c r="J295" s="70"/>
      <c r="K295" s="71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</row>
    <row r="296">
      <c r="A296" s="66"/>
      <c r="B296" s="66"/>
      <c r="C296" s="66"/>
      <c r="D296" s="26"/>
      <c r="E296" s="67"/>
      <c r="F296" s="67"/>
      <c r="G296" s="69"/>
      <c r="H296" s="69"/>
      <c r="I296" s="69"/>
      <c r="J296" s="70"/>
      <c r="K296" s="71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</row>
    <row r="297">
      <c r="A297" s="66"/>
      <c r="B297" s="66"/>
      <c r="C297" s="66"/>
      <c r="D297" s="26"/>
      <c r="E297" s="67"/>
      <c r="F297" s="67"/>
      <c r="G297" s="69"/>
      <c r="H297" s="69"/>
      <c r="I297" s="69"/>
      <c r="J297" s="70"/>
      <c r="K297" s="71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</row>
    <row r="298">
      <c r="A298" s="66"/>
      <c r="B298" s="66"/>
      <c r="C298" s="66"/>
      <c r="D298" s="26"/>
      <c r="E298" s="67"/>
      <c r="F298" s="67"/>
      <c r="G298" s="69"/>
      <c r="H298" s="69"/>
      <c r="I298" s="69"/>
      <c r="J298" s="70"/>
      <c r="K298" s="71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</row>
    <row r="299">
      <c r="A299" s="66"/>
      <c r="B299" s="66"/>
      <c r="C299" s="66"/>
      <c r="D299" s="26"/>
      <c r="E299" s="67"/>
      <c r="F299" s="67"/>
      <c r="G299" s="69"/>
      <c r="H299" s="69"/>
      <c r="I299" s="69"/>
      <c r="J299" s="70"/>
      <c r="K299" s="71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</row>
    <row r="300">
      <c r="A300" s="66"/>
      <c r="B300" s="66"/>
      <c r="C300" s="66"/>
      <c r="D300" s="26"/>
      <c r="E300" s="67"/>
      <c r="F300" s="67"/>
      <c r="G300" s="69"/>
      <c r="H300" s="69"/>
      <c r="I300" s="69"/>
      <c r="J300" s="70"/>
      <c r="K300" s="71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</row>
    <row r="301">
      <c r="A301" s="66"/>
      <c r="B301" s="66"/>
      <c r="C301" s="66"/>
      <c r="D301" s="26"/>
      <c r="E301" s="67"/>
      <c r="F301" s="67"/>
      <c r="G301" s="69"/>
      <c r="H301" s="69"/>
      <c r="I301" s="69"/>
      <c r="J301" s="70"/>
      <c r="K301" s="71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</row>
    <row r="302">
      <c r="A302" s="66"/>
      <c r="B302" s="66"/>
      <c r="C302" s="66"/>
      <c r="D302" s="26"/>
      <c r="E302" s="67"/>
      <c r="F302" s="67"/>
      <c r="G302" s="69"/>
      <c r="H302" s="69"/>
      <c r="I302" s="69"/>
      <c r="J302" s="70"/>
      <c r="K302" s="71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</row>
    <row r="303">
      <c r="A303" s="66"/>
      <c r="B303" s="66"/>
      <c r="C303" s="66"/>
      <c r="D303" s="26"/>
      <c r="E303" s="67"/>
      <c r="F303" s="67"/>
      <c r="G303" s="69"/>
      <c r="H303" s="69"/>
      <c r="I303" s="69"/>
      <c r="J303" s="70"/>
      <c r="K303" s="71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</row>
    <row r="304">
      <c r="A304" s="66"/>
      <c r="B304" s="66"/>
      <c r="C304" s="66"/>
      <c r="D304" s="26"/>
      <c r="E304" s="67"/>
      <c r="F304" s="67"/>
      <c r="G304" s="69"/>
      <c r="H304" s="69"/>
      <c r="I304" s="69"/>
      <c r="J304" s="70"/>
      <c r="K304" s="71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</row>
    <row r="305">
      <c r="A305" s="66"/>
      <c r="B305" s="66"/>
      <c r="C305" s="66"/>
      <c r="D305" s="26"/>
      <c r="E305" s="67"/>
      <c r="F305" s="67"/>
      <c r="G305" s="69"/>
      <c r="H305" s="69"/>
      <c r="I305" s="69"/>
      <c r="J305" s="70"/>
      <c r="K305" s="71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</row>
    <row r="306">
      <c r="A306" s="66"/>
      <c r="B306" s="66"/>
      <c r="C306" s="66"/>
      <c r="D306" s="26"/>
      <c r="E306" s="67"/>
      <c r="F306" s="67"/>
      <c r="G306" s="69"/>
      <c r="H306" s="69"/>
      <c r="I306" s="69"/>
      <c r="J306" s="70"/>
      <c r="K306" s="71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</row>
    <row r="307">
      <c r="A307" s="66"/>
      <c r="B307" s="66"/>
      <c r="C307" s="66"/>
      <c r="D307" s="26"/>
      <c r="E307" s="67"/>
      <c r="F307" s="67"/>
      <c r="G307" s="69"/>
      <c r="H307" s="69"/>
      <c r="I307" s="69"/>
      <c r="J307" s="70"/>
      <c r="K307" s="71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</row>
    <row r="308">
      <c r="A308" s="66"/>
      <c r="B308" s="66"/>
      <c r="C308" s="66"/>
      <c r="D308" s="26"/>
      <c r="E308" s="67"/>
      <c r="F308" s="67"/>
      <c r="G308" s="69"/>
      <c r="H308" s="69"/>
      <c r="I308" s="69"/>
      <c r="J308" s="70"/>
      <c r="K308" s="71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</row>
    <row r="309">
      <c r="A309" s="66"/>
      <c r="B309" s="66"/>
      <c r="C309" s="66"/>
      <c r="D309" s="26"/>
      <c r="E309" s="67"/>
      <c r="F309" s="67"/>
      <c r="G309" s="69"/>
      <c r="H309" s="69"/>
      <c r="I309" s="69"/>
      <c r="J309" s="70"/>
      <c r="K309" s="71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</row>
    <row r="310">
      <c r="A310" s="66"/>
      <c r="B310" s="66"/>
      <c r="C310" s="66"/>
      <c r="D310" s="26"/>
      <c r="E310" s="67"/>
      <c r="F310" s="67"/>
      <c r="G310" s="69"/>
      <c r="H310" s="69"/>
      <c r="I310" s="69"/>
      <c r="J310" s="70"/>
      <c r="K310" s="71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</row>
    <row r="311">
      <c r="A311" s="66"/>
      <c r="B311" s="66"/>
      <c r="C311" s="66"/>
      <c r="D311" s="26"/>
      <c r="E311" s="67"/>
      <c r="F311" s="67"/>
      <c r="G311" s="69"/>
      <c r="H311" s="69"/>
      <c r="I311" s="69"/>
      <c r="J311" s="70"/>
      <c r="K311" s="71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</row>
    <row r="312">
      <c r="A312" s="66"/>
      <c r="B312" s="66"/>
      <c r="C312" s="66"/>
      <c r="D312" s="26"/>
      <c r="E312" s="67"/>
      <c r="F312" s="67"/>
      <c r="G312" s="69"/>
      <c r="H312" s="69"/>
      <c r="I312" s="69"/>
      <c r="J312" s="70"/>
      <c r="K312" s="71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</row>
    <row r="313">
      <c r="A313" s="66"/>
      <c r="B313" s="66"/>
      <c r="C313" s="66"/>
      <c r="D313" s="26"/>
      <c r="E313" s="67"/>
      <c r="F313" s="67"/>
      <c r="G313" s="69"/>
      <c r="H313" s="69"/>
      <c r="I313" s="69"/>
      <c r="J313" s="70"/>
      <c r="K313" s="71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</row>
    <row r="314">
      <c r="A314" s="66"/>
      <c r="B314" s="66"/>
      <c r="C314" s="66"/>
      <c r="D314" s="26"/>
      <c r="E314" s="67"/>
      <c r="F314" s="67"/>
      <c r="G314" s="69"/>
      <c r="H314" s="69"/>
      <c r="I314" s="69"/>
      <c r="J314" s="70"/>
      <c r="K314" s="71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</row>
    <row r="315">
      <c r="A315" s="66"/>
      <c r="B315" s="66"/>
      <c r="C315" s="66"/>
      <c r="D315" s="26"/>
      <c r="E315" s="67"/>
      <c r="F315" s="67"/>
      <c r="G315" s="69"/>
      <c r="H315" s="69"/>
      <c r="I315" s="69"/>
      <c r="J315" s="70"/>
      <c r="K315" s="71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</row>
    <row r="316">
      <c r="A316" s="66"/>
      <c r="B316" s="66"/>
      <c r="C316" s="66"/>
      <c r="D316" s="26"/>
      <c r="E316" s="67"/>
      <c r="F316" s="67"/>
      <c r="G316" s="69"/>
      <c r="H316" s="69"/>
      <c r="I316" s="69"/>
      <c r="J316" s="70"/>
      <c r="K316" s="71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</row>
    <row r="317">
      <c r="A317" s="66"/>
      <c r="B317" s="66"/>
      <c r="C317" s="66"/>
      <c r="D317" s="26"/>
      <c r="E317" s="67"/>
      <c r="F317" s="67"/>
      <c r="G317" s="69"/>
      <c r="H317" s="69"/>
      <c r="I317" s="69"/>
      <c r="J317" s="70"/>
      <c r="K317" s="71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</row>
    <row r="318">
      <c r="A318" s="66"/>
      <c r="B318" s="66"/>
      <c r="C318" s="66"/>
      <c r="D318" s="26"/>
      <c r="E318" s="67"/>
      <c r="F318" s="67"/>
      <c r="G318" s="69"/>
      <c r="H318" s="69"/>
      <c r="I318" s="69"/>
      <c r="J318" s="70"/>
      <c r="K318" s="71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</row>
    <row r="319">
      <c r="A319" s="66"/>
      <c r="B319" s="66"/>
      <c r="C319" s="66"/>
      <c r="D319" s="26"/>
      <c r="E319" s="67"/>
      <c r="F319" s="67"/>
      <c r="G319" s="69"/>
      <c r="H319" s="69"/>
      <c r="I319" s="69"/>
      <c r="J319" s="70"/>
      <c r="K319" s="71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</row>
    <row r="320">
      <c r="A320" s="66"/>
      <c r="B320" s="66"/>
      <c r="C320" s="66"/>
      <c r="D320" s="26"/>
      <c r="E320" s="67"/>
      <c r="F320" s="67"/>
      <c r="G320" s="69"/>
      <c r="H320" s="69"/>
      <c r="I320" s="69"/>
      <c r="J320" s="70"/>
      <c r="K320" s="71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</row>
    <row r="321">
      <c r="A321" s="66"/>
      <c r="B321" s="66"/>
      <c r="C321" s="66"/>
      <c r="D321" s="26"/>
      <c r="E321" s="67"/>
      <c r="F321" s="67"/>
      <c r="G321" s="69"/>
      <c r="H321" s="69"/>
      <c r="I321" s="69"/>
      <c r="J321" s="70"/>
      <c r="K321" s="71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</row>
    <row r="322">
      <c r="A322" s="66"/>
      <c r="B322" s="66"/>
      <c r="C322" s="66"/>
      <c r="D322" s="26"/>
      <c r="E322" s="67"/>
      <c r="F322" s="67"/>
      <c r="G322" s="69"/>
      <c r="H322" s="69"/>
      <c r="I322" s="69"/>
      <c r="J322" s="70"/>
      <c r="K322" s="71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</row>
    <row r="323">
      <c r="A323" s="66"/>
      <c r="B323" s="66"/>
      <c r="C323" s="66"/>
      <c r="D323" s="26"/>
      <c r="E323" s="67"/>
      <c r="F323" s="67"/>
      <c r="G323" s="69"/>
      <c r="H323" s="69"/>
      <c r="I323" s="69"/>
      <c r="J323" s="70"/>
      <c r="K323" s="71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</row>
    <row r="324">
      <c r="A324" s="66"/>
      <c r="B324" s="66"/>
      <c r="C324" s="66"/>
      <c r="D324" s="26"/>
      <c r="E324" s="67"/>
      <c r="F324" s="67"/>
      <c r="G324" s="69"/>
      <c r="H324" s="69"/>
      <c r="I324" s="69"/>
      <c r="J324" s="70"/>
      <c r="K324" s="71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</row>
    <row r="325">
      <c r="A325" s="66"/>
      <c r="B325" s="66"/>
      <c r="C325" s="66"/>
      <c r="D325" s="26"/>
      <c r="E325" s="67"/>
      <c r="F325" s="67"/>
      <c r="G325" s="69"/>
      <c r="H325" s="69"/>
      <c r="I325" s="69"/>
      <c r="J325" s="70"/>
      <c r="K325" s="71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</row>
    <row r="326">
      <c r="A326" s="66"/>
      <c r="B326" s="66"/>
      <c r="C326" s="66"/>
      <c r="D326" s="26"/>
      <c r="E326" s="67"/>
      <c r="F326" s="67"/>
      <c r="G326" s="69"/>
      <c r="H326" s="69"/>
      <c r="I326" s="69"/>
      <c r="J326" s="70"/>
      <c r="K326" s="71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</row>
    <row r="327">
      <c r="A327" s="66"/>
      <c r="B327" s="66"/>
      <c r="C327" s="66"/>
      <c r="D327" s="26"/>
      <c r="E327" s="67"/>
      <c r="F327" s="67"/>
      <c r="G327" s="69"/>
      <c r="H327" s="69"/>
      <c r="I327" s="69"/>
      <c r="J327" s="70"/>
      <c r="K327" s="71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</row>
    <row r="328">
      <c r="A328" s="66"/>
      <c r="B328" s="66"/>
      <c r="C328" s="66"/>
      <c r="D328" s="26"/>
      <c r="E328" s="67"/>
      <c r="F328" s="67"/>
      <c r="G328" s="69"/>
      <c r="H328" s="69"/>
      <c r="I328" s="69"/>
      <c r="J328" s="70"/>
      <c r="K328" s="71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</row>
    <row r="329">
      <c r="A329" s="66"/>
      <c r="B329" s="66"/>
      <c r="C329" s="66"/>
      <c r="D329" s="26"/>
      <c r="E329" s="67"/>
      <c r="F329" s="67"/>
      <c r="G329" s="69"/>
      <c r="H329" s="69"/>
      <c r="I329" s="69"/>
      <c r="J329" s="70"/>
      <c r="K329" s="71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</row>
    <row r="330">
      <c r="A330" s="66"/>
      <c r="B330" s="66"/>
      <c r="C330" s="66"/>
      <c r="D330" s="26"/>
      <c r="E330" s="67"/>
      <c r="F330" s="67"/>
      <c r="G330" s="69"/>
      <c r="H330" s="69"/>
      <c r="I330" s="69"/>
      <c r="J330" s="70"/>
      <c r="K330" s="71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</row>
    <row r="331">
      <c r="A331" s="66"/>
      <c r="B331" s="66"/>
      <c r="C331" s="66"/>
      <c r="D331" s="26"/>
      <c r="E331" s="67"/>
      <c r="F331" s="67"/>
      <c r="G331" s="69"/>
      <c r="H331" s="69"/>
      <c r="I331" s="69"/>
      <c r="J331" s="70"/>
      <c r="K331" s="71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</row>
    <row r="332">
      <c r="A332" s="66"/>
      <c r="B332" s="66"/>
      <c r="C332" s="66"/>
      <c r="D332" s="26"/>
      <c r="E332" s="67"/>
      <c r="F332" s="67"/>
      <c r="G332" s="69"/>
      <c r="H332" s="69"/>
      <c r="I332" s="69"/>
      <c r="J332" s="70"/>
      <c r="K332" s="71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</row>
    <row r="333">
      <c r="A333" s="66"/>
      <c r="B333" s="66"/>
      <c r="C333" s="66"/>
      <c r="D333" s="26"/>
      <c r="E333" s="67"/>
      <c r="F333" s="67"/>
      <c r="G333" s="69"/>
      <c r="H333" s="69"/>
      <c r="I333" s="69"/>
      <c r="J333" s="70"/>
      <c r="K333" s="71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</row>
    <row r="334">
      <c r="A334" s="66"/>
      <c r="B334" s="66"/>
      <c r="C334" s="66"/>
      <c r="D334" s="26"/>
      <c r="E334" s="67"/>
      <c r="F334" s="67"/>
      <c r="G334" s="69"/>
      <c r="H334" s="69"/>
      <c r="I334" s="69"/>
      <c r="J334" s="70"/>
      <c r="K334" s="71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</row>
    <row r="335">
      <c r="A335" s="66"/>
      <c r="B335" s="66"/>
      <c r="C335" s="66"/>
      <c r="D335" s="26"/>
      <c r="E335" s="67"/>
      <c r="F335" s="67"/>
      <c r="G335" s="69"/>
      <c r="H335" s="69"/>
      <c r="I335" s="69"/>
      <c r="J335" s="70"/>
      <c r="K335" s="71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</row>
    <row r="336">
      <c r="A336" s="66"/>
      <c r="B336" s="66"/>
      <c r="C336" s="66"/>
      <c r="D336" s="26"/>
      <c r="E336" s="67"/>
      <c r="F336" s="67"/>
      <c r="G336" s="69"/>
      <c r="H336" s="69"/>
      <c r="I336" s="69"/>
      <c r="J336" s="70"/>
      <c r="K336" s="71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</row>
    <row r="337">
      <c r="A337" s="66"/>
      <c r="B337" s="66"/>
      <c r="C337" s="66"/>
      <c r="D337" s="26"/>
      <c r="E337" s="67"/>
      <c r="F337" s="67"/>
      <c r="G337" s="69"/>
      <c r="H337" s="69"/>
      <c r="I337" s="69"/>
      <c r="J337" s="70"/>
      <c r="K337" s="71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</row>
    <row r="338">
      <c r="A338" s="66"/>
      <c r="B338" s="66"/>
      <c r="C338" s="66"/>
      <c r="D338" s="26"/>
      <c r="E338" s="67"/>
      <c r="F338" s="67"/>
      <c r="G338" s="69"/>
      <c r="H338" s="69"/>
      <c r="I338" s="69"/>
      <c r="J338" s="70"/>
      <c r="K338" s="71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</row>
    <row r="339">
      <c r="A339" s="66"/>
      <c r="B339" s="66"/>
      <c r="C339" s="66"/>
      <c r="D339" s="26"/>
      <c r="E339" s="67"/>
      <c r="F339" s="67"/>
      <c r="G339" s="69"/>
      <c r="H339" s="69"/>
      <c r="I339" s="69"/>
      <c r="J339" s="70"/>
      <c r="K339" s="71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</row>
    <row r="340">
      <c r="A340" s="66"/>
      <c r="B340" s="66"/>
      <c r="C340" s="66"/>
      <c r="D340" s="26"/>
      <c r="E340" s="67"/>
      <c r="F340" s="67"/>
      <c r="G340" s="69"/>
      <c r="H340" s="69"/>
      <c r="I340" s="69"/>
      <c r="J340" s="70"/>
      <c r="K340" s="71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</row>
    <row r="341">
      <c r="A341" s="66"/>
      <c r="B341" s="66"/>
      <c r="C341" s="66"/>
      <c r="D341" s="26"/>
      <c r="E341" s="67"/>
      <c r="F341" s="67"/>
      <c r="G341" s="69"/>
      <c r="H341" s="69"/>
      <c r="I341" s="69"/>
      <c r="J341" s="70"/>
      <c r="K341" s="71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</row>
    <row r="342">
      <c r="A342" s="66"/>
      <c r="B342" s="66"/>
      <c r="C342" s="66"/>
      <c r="D342" s="26"/>
      <c r="E342" s="67"/>
      <c r="F342" s="67"/>
      <c r="G342" s="69"/>
      <c r="H342" s="69"/>
      <c r="I342" s="69"/>
      <c r="J342" s="70"/>
      <c r="K342" s="71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</row>
    <row r="343">
      <c r="A343" s="66"/>
      <c r="B343" s="66"/>
      <c r="C343" s="66"/>
      <c r="D343" s="26"/>
      <c r="E343" s="67"/>
      <c r="F343" s="67"/>
      <c r="G343" s="69"/>
      <c r="H343" s="69"/>
      <c r="I343" s="69"/>
      <c r="J343" s="70"/>
      <c r="K343" s="71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</row>
    <row r="344">
      <c r="A344" s="66"/>
      <c r="B344" s="66"/>
      <c r="C344" s="66"/>
      <c r="D344" s="26"/>
      <c r="E344" s="67"/>
      <c r="F344" s="67"/>
      <c r="G344" s="69"/>
      <c r="H344" s="69"/>
      <c r="I344" s="69"/>
      <c r="J344" s="70"/>
      <c r="K344" s="71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</row>
    <row r="345">
      <c r="A345" s="66"/>
      <c r="B345" s="66"/>
      <c r="C345" s="66"/>
      <c r="D345" s="26"/>
      <c r="E345" s="67"/>
      <c r="F345" s="67"/>
      <c r="G345" s="69"/>
      <c r="H345" s="69"/>
      <c r="I345" s="69"/>
      <c r="J345" s="70"/>
      <c r="K345" s="71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</row>
    <row r="346">
      <c r="A346" s="66"/>
      <c r="B346" s="66"/>
      <c r="C346" s="66"/>
      <c r="D346" s="26"/>
      <c r="E346" s="67"/>
      <c r="F346" s="67"/>
      <c r="G346" s="69"/>
      <c r="H346" s="69"/>
      <c r="I346" s="69"/>
      <c r="J346" s="70"/>
      <c r="K346" s="71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</row>
    <row r="347">
      <c r="A347" s="66"/>
      <c r="B347" s="66"/>
      <c r="C347" s="66"/>
      <c r="D347" s="26"/>
      <c r="E347" s="67"/>
      <c r="F347" s="67"/>
      <c r="G347" s="69"/>
      <c r="H347" s="69"/>
      <c r="I347" s="69"/>
      <c r="J347" s="70"/>
      <c r="K347" s="71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</row>
    <row r="348">
      <c r="A348" s="66"/>
      <c r="B348" s="66"/>
      <c r="C348" s="66"/>
      <c r="D348" s="26"/>
      <c r="E348" s="67"/>
      <c r="F348" s="67"/>
      <c r="G348" s="69"/>
      <c r="H348" s="69"/>
      <c r="I348" s="69"/>
      <c r="J348" s="70"/>
      <c r="K348" s="71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</row>
    <row r="349">
      <c r="A349" s="66"/>
      <c r="B349" s="66"/>
      <c r="C349" s="66"/>
      <c r="D349" s="26"/>
      <c r="E349" s="67"/>
      <c r="F349" s="67"/>
      <c r="G349" s="69"/>
      <c r="H349" s="69"/>
      <c r="I349" s="69"/>
      <c r="J349" s="70"/>
      <c r="K349" s="71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</row>
    <row r="350">
      <c r="A350" s="66"/>
      <c r="B350" s="66"/>
      <c r="C350" s="66"/>
      <c r="D350" s="26"/>
      <c r="E350" s="67"/>
      <c r="F350" s="67"/>
      <c r="G350" s="69"/>
      <c r="H350" s="69"/>
      <c r="I350" s="69"/>
      <c r="J350" s="70"/>
      <c r="K350" s="71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</row>
    <row r="351">
      <c r="A351" s="66"/>
      <c r="B351" s="66"/>
      <c r="C351" s="66"/>
      <c r="D351" s="26"/>
      <c r="E351" s="67"/>
      <c r="F351" s="67"/>
      <c r="G351" s="69"/>
      <c r="H351" s="69"/>
      <c r="I351" s="69"/>
      <c r="J351" s="70"/>
      <c r="K351" s="71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</row>
    <row r="352">
      <c r="A352" s="66"/>
      <c r="B352" s="66"/>
      <c r="C352" s="66"/>
      <c r="D352" s="26"/>
      <c r="E352" s="67"/>
      <c r="F352" s="67"/>
      <c r="G352" s="69"/>
      <c r="H352" s="69"/>
      <c r="I352" s="69"/>
      <c r="J352" s="70"/>
      <c r="K352" s="71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</row>
    <row r="353">
      <c r="A353" s="66"/>
      <c r="B353" s="66"/>
      <c r="C353" s="66"/>
      <c r="D353" s="26"/>
      <c r="E353" s="67"/>
      <c r="F353" s="67"/>
      <c r="G353" s="69"/>
      <c r="H353" s="69"/>
      <c r="I353" s="69"/>
      <c r="J353" s="70"/>
      <c r="K353" s="71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</row>
    <row r="354">
      <c r="A354" s="66"/>
      <c r="B354" s="66"/>
      <c r="C354" s="66"/>
      <c r="D354" s="26"/>
      <c r="E354" s="67"/>
      <c r="F354" s="67"/>
      <c r="G354" s="69"/>
      <c r="H354" s="69"/>
      <c r="I354" s="69"/>
      <c r="J354" s="70"/>
      <c r="K354" s="71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</row>
    <row r="355">
      <c r="A355" s="66"/>
      <c r="B355" s="66"/>
      <c r="C355" s="66"/>
      <c r="D355" s="26"/>
      <c r="E355" s="67"/>
      <c r="F355" s="67"/>
      <c r="G355" s="69"/>
      <c r="H355" s="69"/>
      <c r="I355" s="69"/>
      <c r="J355" s="70"/>
      <c r="K355" s="71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</row>
    <row r="356">
      <c r="A356" s="66"/>
      <c r="B356" s="66"/>
      <c r="C356" s="66"/>
      <c r="D356" s="26"/>
      <c r="E356" s="67"/>
      <c r="F356" s="67"/>
      <c r="G356" s="69"/>
      <c r="H356" s="69"/>
      <c r="I356" s="69"/>
      <c r="J356" s="70"/>
      <c r="K356" s="71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</row>
    <row r="357">
      <c r="A357" s="66"/>
      <c r="B357" s="66"/>
      <c r="C357" s="66"/>
      <c r="D357" s="26"/>
      <c r="E357" s="67"/>
      <c r="F357" s="67"/>
      <c r="G357" s="69"/>
      <c r="H357" s="69"/>
      <c r="I357" s="69"/>
      <c r="J357" s="70"/>
      <c r="K357" s="71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</row>
    <row r="358">
      <c r="A358" s="66"/>
      <c r="B358" s="66"/>
      <c r="C358" s="66"/>
      <c r="D358" s="26"/>
      <c r="E358" s="67"/>
      <c r="F358" s="67"/>
      <c r="G358" s="69"/>
      <c r="H358" s="69"/>
      <c r="I358" s="69"/>
      <c r="J358" s="70"/>
      <c r="K358" s="71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</row>
    <row r="359">
      <c r="A359" s="66"/>
      <c r="B359" s="66"/>
      <c r="C359" s="66"/>
      <c r="D359" s="26"/>
      <c r="E359" s="67"/>
      <c r="F359" s="67"/>
      <c r="G359" s="69"/>
      <c r="H359" s="69"/>
      <c r="I359" s="69"/>
      <c r="J359" s="70"/>
      <c r="K359" s="71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</row>
    <row r="360">
      <c r="A360" s="66"/>
      <c r="B360" s="66"/>
      <c r="C360" s="66"/>
      <c r="D360" s="26"/>
      <c r="E360" s="67"/>
      <c r="F360" s="67"/>
      <c r="G360" s="69"/>
      <c r="H360" s="69"/>
      <c r="I360" s="69"/>
      <c r="J360" s="70"/>
      <c r="K360" s="71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</row>
    <row r="361">
      <c r="A361" s="66"/>
      <c r="B361" s="66"/>
      <c r="C361" s="66"/>
      <c r="D361" s="26"/>
      <c r="E361" s="67"/>
      <c r="F361" s="67"/>
      <c r="G361" s="69"/>
      <c r="H361" s="69"/>
      <c r="I361" s="69"/>
      <c r="J361" s="70"/>
      <c r="K361" s="71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</row>
    <row r="362">
      <c r="A362" s="66"/>
      <c r="B362" s="66"/>
      <c r="C362" s="66"/>
      <c r="D362" s="26"/>
      <c r="E362" s="67"/>
      <c r="F362" s="67"/>
      <c r="G362" s="69"/>
      <c r="H362" s="69"/>
      <c r="I362" s="69"/>
      <c r="J362" s="70"/>
      <c r="K362" s="71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</row>
    <row r="363">
      <c r="A363" s="66"/>
      <c r="B363" s="66"/>
      <c r="C363" s="66"/>
      <c r="D363" s="26"/>
      <c r="E363" s="67"/>
      <c r="F363" s="67"/>
      <c r="G363" s="69"/>
      <c r="H363" s="69"/>
      <c r="I363" s="69"/>
      <c r="J363" s="70"/>
      <c r="K363" s="71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</row>
    <row r="364">
      <c r="A364" s="66"/>
      <c r="B364" s="66"/>
      <c r="C364" s="66"/>
      <c r="D364" s="26"/>
      <c r="E364" s="67"/>
      <c r="F364" s="67"/>
      <c r="G364" s="69"/>
      <c r="H364" s="69"/>
      <c r="I364" s="69"/>
      <c r="J364" s="70"/>
      <c r="K364" s="71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</row>
    <row r="365">
      <c r="A365" s="66"/>
      <c r="B365" s="66"/>
      <c r="C365" s="66"/>
      <c r="D365" s="26"/>
      <c r="E365" s="67"/>
      <c r="F365" s="67"/>
      <c r="G365" s="69"/>
      <c r="H365" s="69"/>
      <c r="I365" s="69"/>
      <c r="J365" s="70"/>
      <c r="K365" s="71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</row>
    <row r="366">
      <c r="A366" s="66"/>
      <c r="B366" s="66"/>
      <c r="C366" s="66"/>
      <c r="D366" s="26"/>
      <c r="E366" s="67"/>
      <c r="F366" s="67"/>
      <c r="G366" s="69"/>
      <c r="H366" s="69"/>
      <c r="I366" s="69"/>
      <c r="J366" s="70"/>
      <c r="K366" s="71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</row>
    <row r="367">
      <c r="A367" s="66"/>
      <c r="B367" s="66"/>
      <c r="C367" s="66"/>
      <c r="D367" s="26"/>
      <c r="E367" s="67"/>
      <c r="F367" s="67"/>
      <c r="G367" s="69"/>
      <c r="H367" s="69"/>
      <c r="I367" s="69"/>
      <c r="J367" s="70"/>
      <c r="K367" s="71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</row>
    <row r="368">
      <c r="A368" s="66"/>
      <c r="B368" s="66"/>
      <c r="C368" s="66"/>
      <c r="D368" s="26"/>
      <c r="E368" s="67"/>
      <c r="F368" s="67"/>
      <c r="G368" s="69"/>
      <c r="H368" s="69"/>
      <c r="I368" s="69"/>
      <c r="J368" s="70"/>
      <c r="K368" s="71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</row>
    <row r="369">
      <c r="A369" s="66"/>
      <c r="B369" s="66"/>
      <c r="C369" s="66"/>
      <c r="D369" s="26"/>
      <c r="E369" s="67"/>
      <c r="F369" s="67"/>
      <c r="G369" s="69"/>
      <c r="H369" s="69"/>
      <c r="I369" s="69"/>
      <c r="J369" s="70"/>
      <c r="K369" s="71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</row>
    <row r="370">
      <c r="A370" s="66"/>
      <c r="B370" s="66"/>
      <c r="C370" s="66"/>
      <c r="D370" s="26"/>
      <c r="E370" s="67"/>
      <c r="F370" s="67"/>
      <c r="G370" s="69"/>
      <c r="H370" s="69"/>
      <c r="I370" s="69"/>
      <c r="J370" s="70"/>
      <c r="K370" s="71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</row>
    <row r="371">
      <c r="A371" s="66"/>
      <c r="B371" s="66"/>
      <c r="C371" s="66"/>
      <c r="D371" s="26"/>
      <c r="E371" s="67"/>
      <c r="F371" s="67"/>
      <c r="G371" s="69"/>
      <c r="H371" s="69"/>
      <c r="I371" s="69"/>
      <c r="J371" s="70"/>
      <c r="K371" s="71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</row>
    <row r="372">
      <c r="A372" s="66"/>
      <c r="B372" s="66"/>
      <c r="C372" s="66"/>
      <c r="D372" s="26"/>
      <c r="E372" s="67"/>
      <c r="F372" s="67"/>
      <c r="G372" s="69"/>
      <c r="H372" s="69"/>
      <c r="I372" s="69"/>
      <c r="J372" s="70"/>
      <c r="K372" s="71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</row>
    <row r="373">
      <c r="A373" s="66"/>
      <c r="B373" s="66"/>
      <c r="C373" s="66"/>
      <c r="D373" s="26"/>
      <c r="E373" s="67"/>
      <c r="F373" s="67"/>
      <c r="G373" s="69"/>
      <c r="H373" s="69"/>
      <c r="I373" s="69"/>
      <c r="J373" s="70"/>
      <c r="K373" s="71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</row>
    <row r="374">
      <c r="A374" s="66"/>
      <c r="B374" s="66"/>
      <c r="C374" s="66"/>
      <c r="D374" s="26"/>
      <c r="E374" s="67"/>
      <c r="F374" s="67"/>
      <c r="G374" s="69"/>
      <c r="H374" s="69"/>
      <c r="I374" s="69"/>
      <c r="J374" s="70"/>
      <c r="K374" s="71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</row>
    <row r="375">
      <c r="A375" s="66"/>
      <c r="B375" s="66"/>
      <c r="C375" s="66"/>
      <c r="D375" s="26"/>
      <c r="E375" s="67"/>
      <c r="F375" s="67"/>
      <c r="G375" s="69"/>
      <c r="H375" s="69"/>
      <c r="I375" s="69"/>
      <c r="J375" s="70"/>
      <c r="K375" s="71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</row>
    <row r="376">
      <c r="A376" s="66"/>
      <c r="B376" s="66"/>
      <c r="C376" s="66"/>
      <c r="D376" s="26"/>
      <c r="E376" s="67"/>
      <c r="F376" s="67"/>
      <c r="G376" s="69"/>
      <c r="H376" s="69"/>
      <c r="I376" s="69"/>
      <c r="J376" s="70"/>
      <c r="K376" s="71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</row>
    <row r="377">
      <c r="A377" s="66"/>
      <c r="B377" s="66"/>
      <c r="C377" s="66"/>
      <c r="D377" s="26"/>
      <c r="E377" s="67"/>
      <c r="F377" s="67"/>
      <c r="G377" s="69"/>
      <c r="H377" s="69"/>
      <c r="I377" s="69"/>
      <c r="J377" s="70"/>
      <c r="K377" s="71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</row>
    <row r="378">
      <c r="A378" s="66"/>
      <c r="B378" s="66"/>
      <c r="C378" s="66"/>
      <c r="D378" s="26"/>
      <c r="E378" s="67"/>
      <c r="F378" s="67"/>
      <c r="G378" s="69"/>
      <c r="H378" s="69"/>
      <c r="I378" s="69"/>
      <c r="J378" s="70"/>
      <c r="K378" s="71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</row>
    <row r="379">
      <c r="A379" s="66"/>
      <c r="B379" s="66"/>
      <c r="C379" s="66"/>
      <c r="D379" s="26"/>
      <c r="E379" s="67"/>
      <c r="F379" s="67"/>
      <c r="G379" s="69"/>
      <c r="H379" s="69"/>
      <c r="I379" s="69"/>
      <c r="J379" s="70"/>
      <c r="K379" s="71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</row>
    <row r="380">
      <c r="A380" s="66"/>
      <c r="B380" s="66"/>
      <c r="C380" s="66"/>
      <c r="D380" s="26"/>
      <c r="E380" s="67"/>
      <c r="F380" s="67"/>
      <c r="G380" s="69"/>
      <c r="H380" s="69"/>
      <c r="I380" s="69"/>
      <c r="J380" s="70"/>
      <c r="K380" s="71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</row>
    <row r="381">
      <c r="A381" s="66"/>
      <c r="B381" s="66"/>
      <c r="C381" s="66"/>
      <c r="D381" s="26"/>
      <c r="E381" s="67"/>
      <c r="F381" s="67"/>
      <c r="G381" s="69"/>
      <c r="H381" s="69"/>
      <c r="I381" s="69"/>
      <c r="J381" s="70"/>
      <c r="K381" s="71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</row>
    <row r="382">
      <c r="A382" s="66"/>
      <c r="B382" s="66"/>
      <c r="C382" s="66"/>
      <c r="D382" s="26"/>
      <c r="E382" s="67"/>
      <c r="F382" s="67"/>
      <c r="G382" s="69"/>
      <c r="H382" s="69"/>
      <c r="I382" s="69"/>
      <c r="J382" s="70"/>
      <c r="K382" s="71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</row>
    <row r="383">
      <c r="A383" s="66"/>
      <c r="B383" s="66"/>
      <c r="C383" s="66"/>
      <c r="D383" s="26"/>
      <c r="E383" s="67"/>
      <c r="F383" s="67"/>
      <c r="G383" s="69"/>
      <c r="H383" s="69"/>
      <c r="I383" s="69"/>
      <c r="J383" s="70"/>
      <c r="K383" s="71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</row>
    <row r="384">
      <c r="A384" s="66"/>
      <c r="B384" s="66"/>
      <c r="C384" s="66"/>
      <c r="D384" s="26"/>
      <c r="E384" s="67"/>
      <c r="F384" s="67"/>
      <c r="G384" s="69"/>
      <c r="H384" s="69"/>
      <c r="I384" s="69"/>
      <c r="J384" s="70"/>
      <c r="K384" s="71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</row>
    <row r="385">
      <c r="A385" s="66"/>
      <c r="B385" s="66"/>
      <c r="C385" s="66"/>
      <c r="D385" s="26"/>
      <c r="E385" s="67"/>
      <c r="F385" s="67"/>
      <c r="G385" s="69"/>
      <c r="H385" s="69"/>
      <c r="I385" s="69"/>
      <c r="J385" s="70"/>
      <c r="K385" s="71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</row>
    <row r="386">
      <c r="A386" s="66"/>
      <c r="B386" s="66"/>
      <c r="C386" s="66"/>
      <c r="D386" s="26"/>
      <c r="E386" s="67"/>
      <c r="F386" s="67"/>
      <c r="G386" s="69"/>
      <c r="H386" s="69"/>
      <c r="I386" s="69"/>
      <c r="J386" s="70"/>
      <c r="K386" s="71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</row>
    <row r="387">
      <c r="A387" s="66"/>
      <c r="B387" s="66"/>
      <c r="C387" s="66"/>
      <c r="D387" s="26"/>
      <c r="E387" s="67"/>
      <c r="F387" s="67"/>
      <c r="G387" s="69"/>
      <c r="H387" s="69"/>
      <c r="I387" s="69"/>
      <c r="J387" s="70"/>
      <c r="K387" s="71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</row>
    <row r="388">
      <c r="A388" s="66"/>
      <c r="B388" s="66"/>
      <c r="C388" s="66"/>
      <c r="D388" s="26"/>
      <c r="E388" s="67"/>
      <c r="F388" s="67"/>
      <c r="G388" s="69"/>
      <c r="H388" s="69"/>
      <c r="I388" s="69"/>
      <c r="J388" s="70"/>
      <c r="K388" s="71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</row>
    <row r="389">
      <c r="A389" s="66"/>
      <c r="B389" s="66"/>
      <c r="C389" s="66"/>
      <c r="D389" s="26"/>
      <c r="E389" s="67"/>
      <c r="F389" s="67"/>
      <c r="G389" s="69"/>
      <c r="H389" s="69"/>
      <c r="I389" s="69"/>
      <c r="J389" s="70"/>
      <c r="K389" s="71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</row>
    <row r="390">
      <c r="A390" s="66"/>
      <c r="B390" s="66"/>
      <c r="C390" s="66"/>
      <c r="D390" s="26"/>
      <c r="E390" s="67"/>
      <c r="F390" s="67"/>
      <c r="G390" s="69"/>
      <c r="H390" s="69"/>
      <c r="I390" s="69"/>
      <c r="J390" s="70"/>
      <c r="K390" s="71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</row>
    <row r="391">
      <c r="A391" s="66"/>
      <c r="B391" s="66"/>
      <c r="C391" s="66"/>
      <c r="D391" s="26"/>
      <c r="E391" s="67"/>
      <c r="F391" s="67"/>
      <c r="G391" s="69"/>
      <c r="H391" s="69"/>
      <c r="I391" s="69"/>
      <c r="J391" s="70"/>
      <c r="K391" s="71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</row>
    <row r="392">
      <c r="A392" s="66"/>
      <c r="B392" s="66"/>
      <c r="C392" s="66"/>
      <c r="D392" s="26"/>
      <c r="E392" s="67"/>
      <c r="F392" s="67"/>
      <c r="G392" s="69"/>
      <c r="H392" s="69"/>
      <c r="I392" s="69"/>
      <c r="J392" s="70"/>
      <c r="K392" s="71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</row>
    <row r="393">
      <c r="A393" s="66"/>
      <c r="B393" s="66"/>
      <c r="C393" s="66"/>
      <c r="D393" s="26"/>
      <c r="E393" s="67"/>
      <c r="F393" s="67"/>
      <c r="G393" s="69"/>
      <c r="H393" s="69"/>
      <c r="I393" s="69"/>
      <c r="J393" s="70"/>
      <c r="K393" s="71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</row>
    <row r="394">
      <c r="A394" s="66"/>
      <c r="B394" s="66"/>
      <c r="C394" s="66"/>
      <c r="D394" s="26"/>
      <c r="E394" s="67"/>
      <c r="F394" s="67"/>
      <c r="G394" s="69"/>
      <c r="H394" s="69"/>
      <c r="I394" s="69"/>
      <c r="J394" s="70"/>
      <c r="K394" s="71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</row>
    <row r="395">
      <c r="A395" s="66"/>
      <c r="B395" s="66"/>
      <c r="C395" s="66"/>
      <c r="D395" s="26"/>
      <c r="E395" s="67"/>
      <c r="F395" s="67"/>
      <c r="G395" s="69"/>
      <c r="H395" s="69"/>
      <c r="I395" s="69"/>
      <c r="J395" s="70"/>
      <c r="K395" s="71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</row>
    <row r="396">
      <c r="A396" s="66"/>
      <c r="B396" s="66"/>
      <c r="C396" s="66"/>
      <c r="D396" s="26"/>
      <c r="E396" s="67"/>
      <c r="F396" s="67"/>
      <c r="G396" s="69"/>
      <c r="H396" s="69"/>
      <c r="I396" s="69"/>
      <c r="J396" s="70"/>
      <c r="K396" s="71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</row>
    <row r="397">
      <c r="A397" s="66"/>
      <c r="B397" s="66"/>
      <c r="C397" s="66"/>
      <c r="D397" s="26"/>
      <c r="E397" s="67"/>
      <c r="F397" s="67"/>
      <c r="G397" s="69"/>
      <c r="H397" s="69"/>
      <c r="I397" s="69"/>
      <c r="J397" s="70"/>
      <c r="K397" s="71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</row>
    <row r="398">
      <c r="A398" s="66"/>
      <c r="B398" s="66"/>
      <c r="C398" s="66"/>
      <c r="D398" s="26"/>
      <c r="E398" s="67"/>
      <c r="F398" s="67"/>
      <c r="G398" s="69"/>
      <c r="H398" s="69"/>
      <c r="I398" s="69"/>
      <c r="J398" s="70"/>
      <c r="K398" s="71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</row>
    <row r="399">
      <c r="A399" s="66"/>
      <c r="B399" s="66"/>
      <c r="C399" s="66"/>
      <c r="D399" s="26"/>
      <c r="E399" s="67"/>
      <c r="F399" s="67"/>
      <c r="G399" s="69"/>
      <c r="H399" s="69"/>
      <c r="I399" s="69"/>
      <c r="J399" s="70"/>
      <c r="K399" s="71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</row>
    <row r="400">
      <c r="A400" s="66"/>
      <c r="B400" s="66"/>
      <c r="C400" s="66"/>
      <c r="D400" s="26"/>
      <c r="E400" s="67"/>
      <c r="F400" s="67"/>
      <c r="G400" s="69"/>
      <c r="H400" s="69"/>
      <c r="I400" s="69"/>
      <c r="J400" s="70"/>
      <c r="K400" s="71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</row>
    <row r="401">
      <c r="A401" s="66"/>
      <c r="B401" s="66"/>
      <c r="C401" s="66"/>
      <c r="D401" s="26"/>
      <c r="E401" s="67"/>
      <c r="F401" s="67"/>
      <c r="G401" s="69"/>
      <c r="H401" s="69"/>
      <c r="I401" s="69"/>
      <c r="J401" s="70"/>
      <c r="K401" s="71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</row>
    <row r="402">
      <c r="A402" s="66"/>
      <c r="B402" s="66"/>
      <c r="C402" s="66"/>
      <c r="D402" s="26"/>
      <c r="E402" s="67"/>
      <c r="F402" s="67"/>
      <c r="G402" s="69"/>
      <c r="H402" s="69"/>
      <c r="I402" s="69"/>
      <c r="J402" s="70"/>
      <c r="K402" s="71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</row>
    <row r="403">
      <c r="A403" s="66"/>
      <c r="B403" s="66"/>
      <c r="C403" s="66"/>
      <c r="D403" s="26"/>
      <c r="E403" s="67"/>
      <c r="F403" s="67"/>
      <c r="G403" s="69"/>
      <c r="H403" s="69"/>
      <c r="I403" s="69"/>
      <c r="J403" s="70"/>
      <c r="K403" s="71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</row>
    <row r="404">
      <c r="A404" s="66"/>
      <c r="B404" s="66"/>
      <c r="C404" s="66"/>
      <c r="D404" s="26"/>
      <c r="E404" s="67"/>
      <c r="F404" s="67"/>
      <c r="G404" s="69"/>
      <c r="H404" s="69"/>
      <c r="I404" s="69"/>
      <c r="J404" s="70"/>
      <c r="K404" s="71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</row>
    <row r="405">
      <c r="A405" s="66"/>
      <c r="B405" s="66"/>
      <c r="C405" s="66"/>
      <c r="D405" s="26"/>
      <c r="E405" s="67"/>
      <c r="F405" s="67"/>
      <c r="G405" s="69"/>
      <c r="H405" s="69"/>
      <c r="I405" s="69"/>
      <c r="J405" s="70"/>
      <c r="K405" s="71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</row>
    <row r="406">
      <c r="A406" s="66"/>
      <c r="B406" s="66"/>
      <c r="C406" s="66"/>
      <c r="D406" s="26"/>
      <c r="E406" s="67"/>
      <c r="F406" s="67"/>
      <c r="G406" s="69"/>
      <c r="H406" s="69"/>
      <c r="I406" s="69"/>
      <c r="J406" s="70"/>
      <c r="K406" s="71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</row>
    <row r="407">
      <c r="A407" s="66"/>
      <c r="B407" s="66"/>
      <c r="C407" s="66"/>
      <c r="D407" s="26"/>
      <c r="E407" s="67"/>
      <c r="F407" s="67"/>
      <c r="G407" s="69"/>
      <c r="H407" s="69"/>
      <c r="I407" s="69"/>
      <c r="J407" s="70"/>
      <c r="K407" s="71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</row>
    <row r="408">
      <c r="A408" s="66"/>
      <c r="B408" s="66"/>
      <c r="C408" s="66"/>
      <c r="D408" s="26"/>
      <c r="E408" s="67"/>
      <c r="F408" s="67"/>
      <c r="G408" s="69"/>
      <c r="H408" s="69"/>
      <c r="I408" s="69"/>
      <c r="J408" s="70"/>
      <c r="K408" s="71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</row>
    <row r="409">
      <c r="A409" s="66"/>
      <c r="B409" s="66"/>
      <c r="C409" s="66"/>
      <c r="D409" s="26"/>
      <c r="E409" s="67"/>
      <c r="F409" s="67"/>
      <c r="G409" s="69"/>
      <c r="H409" s="69"/>
      <c r="I409" s="69"/>
      <c r="J409" s="70"/>
      <c r="K409" s="71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</row>
    <row r="410">
      <c r="A410" s="66"/>
      <c r="B410" s="66"/>
      <c r="C410" s="66"/>
      <c r="D410" s="26"/>
      <c r="E410" s="67"/>
      <c r="F410" s="67"/>
      <c r="G410" s="69"/>
      <c r="H410" s="69"/>
      <c r="I410" s="69"/>
      <c r="J410" s="70"/>
      <c r="K410" s="71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</row>
    <row r="411">
      <c r="A411" s="66"/>
      <c r="B411" s="66"/>
      <c r="C411" s="66"/>
      <c r="D411" s="26"/>
      <c r="E411" s="67"/>
      <c r="F411" s="67"/>
      <c r="G411" s="69"/>
      <c r="H411" s="69"/>
      <c r="I411" s="69"/>
      <c r="J411" s="70"/>
      <c r="K411" s="71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</row>
    <row r="412">
      <c r="A412" s="66"/>
      <c r="B412" s="66"/>
      <c r="C412" s="66"/>
      <c r="D412" s="26"/>
      <c r="E412" s="67"/>
      <c r="F412" s="67"/>
      <c r="G412" s="69"/>
      <c r="H412" s="69"/>
      <c r="I412" s="69"/>
      <c r="J412" s="70"/>
      <c r="K412" s="71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</row>
    <row r="413">
      <c r="A413" s="66"/>
      <c r="B413" s="66"/>
      <c r="C413" s="66"/>
      <c r="D413" s="26"/>
      <c r="E413" s="67"/>
      <c r="F413" s="67"/>
      <c r="G413" s="69"/>
      <c r="H413" s="69"/>
      <c r="I413" s="69"/>
      <c r="J413" s="70"/>
      <c r="K413" s="71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</row>
    <row r="414">
      <c r="A414" s="66"/>
      <c r="B414" s="66"/>
      <c r="C414" s="66"/>
      <c r="D414" s="26"/>
      <c r="E414" s="67"/>
      <c r="F414" s="67"/>
      <c r="G414" s="69"/>
      <c r="H414" s="69"/>
      <c r="I414" s="69"/>
      <c r="J414" s="70"/>
      <c r="K414" s="71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</row>
    <row r="415">
      <c r="A415" s="66"/>
      <c r="B415" s="66"/>
      <c r="C415" s="66"/>
      <c r="D415" s="26"/>
      <c r="E415" s="67"/>
      <c r="F415" s="67"/>
      <c r="G415" s="69"/>
      <c r="H415" s="69"/>
      <c r="I415" s="69"/>
      <c r="J415" s="70"/>
      <c r="K415" s="71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</row>
    <row r="416">
      <c r="A416" s="66"/>
      <c r="B416" s="66"/>
      <c r="C416" s="66"/>
      <c r="D416" s="26"/>
      <c r="E416" s="67"/>
      <c r="F416" s="67"/>
      <c r="G416" s="69"/>
      <c r="H416" s="69"/>
      <c r="I416" s="69"/>
      <c r="J416" s="70"/>
      <c r="K416" s="71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</row>
    <row r="417">
      <c r="A417" s="66"/>
      <c r="B417" s="66"/>
      <c r="C417" s="66"/>
      <c r="D417" s="26"/>
      <c r="E417" s="67"/>
      <c r="F417" s="67"/>
      <c r="G417" s="69"/>
      <c r="H417" s="69"/>
      <c r="I417" s="69"/>
      <c r="J417" s="70"/>
      <c r="K417" s="71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</row>
    <row r="418">
      <c r="A418" s="66"/>
      <c r="B418" s="66"/>
      <c r="C418" s="66"/>
      <c r="D418" s="26"/>
      <c r="E418" s="67"/>
      <c r="F418" s="67"/>
      <c r="G418" s="69"/>
      <c r="H418" s="69"/>
      <c r="I418" s="69"/>
      <c r="J418" s="70"/>
      <c r="K418" s="71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</row>
    <row r="419">
      <c r="A419" s="66"/>
      <c r="B419" s="66"/>
      <c r="C419" s="66"/>
      <c r="D419" s="26"/>
      <c r="E419" s="67"/>
      <c r="F419" s="67"/>
      <c r="G419" s="69"/>
      <c r="H419" s="69"/>
      <c r="I419" s="69"/>
      <c r="J419" s="70"/>
      <c r="K419" s="71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</row>
    <row r="420">
      <c r="A420" s="66"/>
      <c r="B420" s="66"/>
      <c r="C420" s="66"/>
      <c r="D420" s="26"/>
      <c r="E420" s="67"/>
      <c r="F420" s="67"/>
      <c r="G420" s="69"/>
      <c r="H420" s="69"/>
      <c r="I420" s="69"/>
      <c r="J420" s="70"/>
      <c r="K420" s="71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</row>
    <row r="421">
      <c r="A421" s="66"/>
      <c r="B421" s="66"/>
      <c r="C421" s="66"/>
      <c r="D421" s="26"/>
      <c r="E421" s="67"/>
      <c r="F421" s="67"/>
      <c r="G421" s="69"/>
      <c r="H421" s="69"/>
      <c r="I421" s="69"/>
      <c r="J421" s="70"/>
      <c r="K421" s="71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</row>
    <row r="422">
      <c r="A422" s="66"/>
      <c r="B422" s="66"/>
      <c r="C422" s="66"/>
      <c r="D422" s="26"/>
      <c r="E422" s="67"/>
      <c r="F422" s="67"/>
      <c r="G422" s="69"/>
      <c r="H422" s="69"/>
      <c r="I422" s="69"/>
      <c r="J422" s="70"/>
      <c r="K422" s="71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</row>
    <row r="423">
      <c r="A423" s="66"/>
      <c r="B423" s="66"/>
      <c r="C423" s="66"/>
      <c r="D423" s="26"/>
      <c r="E423" s="67"/>
      <c r="F423" s="67"/>
      <c r="G423" s="69"/>
      <c r="H423" s="69"/>
      <c r="I423" s="69"/>
      <c r="J423" s="70"/>
      <c r="K423" s="71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</row>
    <row r="424">
      <c r="A424" s="66"/>
      <c r="B424" s="66"/>
      <c r="C424" s="66"/>
      <c r="D424" s="26"/>
      <c r="E424" s="67"/>
      <c r="F424" s="67"/>
      <c r="G424" s="69"/>
      <c r="H424" s="69"/>
      <c r="I424" s="69"/>
      <c r="J424" s="70"/>
      <c r="K424" s="71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</row>
    <row r="425">
      <c r="A425" s="66"/>
      <c r="B425" s="66"/>
      <c r="C425" s="66"/>
      <c r="D425" s="26"/>
      <c r="E425" s="67"/>
      <c r="F425" s="67"/>
      <c r="G425" s="69"/>
      <c r="H425" s="69"/>
      <c r="I425" s="69"/>
      <c r="J425" s="70"/>
      <c r="K425" s="71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</row>
    <row r="426">
      <c r="A426" s="66"/>
      <c r="B426" s="66"/>
      <c r="C426" s="66"/>
      <c r="D426" s="26"/>
      <c r="E426" s="67"/>
      <c r="F426" s="67"/>
      <c r="G426" s="69"/>
      <c r="H426" s="69"/>
      <c r="I426" s="69"/>
      <c r="J426" s="70"/>
      <c r="K426" s="71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</row>
    <row r="427">
      <c r="A427" s="66"/>
      <c r="B427" s="66"/>
      <c r="C427" s="66"/>
      <c r="D427" s="26"/>
      <c r="E427" s="67"/>
      <c r="F427" s="67"/>
      <c r="G427" s="69"/>
      <c r="H427" s="69"/>
      <c r="I427" s="69"/>
      <c r="J427" s="70"/>
      <c r="K427" s="71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</row>
    <row r="428">
      <c r="A428" s="66"/>
      <c r="B428" s="66"/>
      <c r="C428" s="66"/>
      <c r="D428" s="26"/>
      <c r="E428" s="67"/>
      <c r="F428" s="67"/>
      <c r="G428" s="69"/>
      <c r="H428" s="69"/>
      <c r="I428" s="69"/>
      <c r="J428" s="70"/>
      <c r="K428" s="71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</row>
    <row r="429">
      <c r="A429" s="66"/>
      <c r="B429" s="66"/>
      <c r="C429" s="66"/>
      <c r="D429" s="26"/>
      <c r="E429" s="67"/>
      <c r="F429" s="67"/>
      <c r="G429" s="69"/>
      <c r="H429" s="69"/>
      <c r="I429" s="69"/>
      <c r="J429" s="70"/>
      <c r="K429" s="71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</row>
    <row r="430">
      <c r="A430" s="66"/>
      <c r="B430" s="66"/>
      <c r="C430" s="66"/>
      <c r="D430" s="26"/>
      <c r="E430" s="67"/>
      <c r="F430" s="67"/>
      <c r="G430" s="69"/>
      <c r="H430" s="69"/>
      <c r="I430" s="69"/>
      <c r="J430" s="70"/>
      <c r="K430" s="71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</row>
    <row r="431">
      <c r="A431" s="66"/>
      <c r="B431" s="66"/>
      <c r="C431" s="66"/>
      <c r="D431" s="26"/>
      <c r="E431" s="67"/>
      <c r="F431" s="67"/>
      <c r="G431" s="69"/>
      <c r="H431" s="69"/>
      <c r="I431" s="69"/>
      <c r="J431" s="70"/>
      <c r="K431" s="71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</row>
    <row r="432">
      <c r="A432" s="66"/>
      <c r="B432" s="66"/>
      <c r="C432" s="66"/>
      <c r="D432" s="26"/>
      <c r="E432" s="67"/>
      <c r="F432" s="67"/>
      <c r="G432" s="69"/>
      <c r="H432" s="69"/>
      <c r="I432" s="69"/>
      <c r="J432" s="70"/>
      <c r="K432" s="71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</row>
    <row r="433">
      <c r="A433" s="66"/>
      <c r="B433" s="66"/>
      <c r="C433" s="66"/>
      <c r="D433" s="26"/>
      <c r="E433" s="67"/>
      <c r="F433" s="67"/>
      <c r="G433" s="69"/>
      <c r="H433" s="69"/>
      <c r="I433" s="69"/>
      <c r="J433" s="70"/>
      <c r="K433" s="71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</row>
    <row r="434">
      <c r="A434" s="66"/>
      <c r="B434" s="66"/>
      <c r="C434" s="66"/>
      <c r="D434" s="26"/>
      <c r="E434" s="67"/>
      <c r="F434" s="67"/>
      <c r="G434" s="69"/>
      <c r="H434" s="69"/>
      <c r="I434" s="69"/>
      <c r="J434" s="70"/>
      <c r="K434" s="71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</row>
    <row r="435">
      <c r="A435" s="66"/>
      <c r="B435" s="66"/>
      <c r="C435" s="66"/>
      <c r="D435" s="26"/>
      <c r="E435" s="67"/>
      <c r="F435" s="67"/>
      <c r="G435" s="69"/>
      <c r="H435" s="69"/>
      <c r="I435" s="69"/>
      <c r="J435" s="70"/>
      <c r="K435" s="71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</row>
    <row r="436">
      <c r="A436" s="66"/>
      <c r="B436" s="66"/>
      <c r="C436" s="66"/>
      <c r="D436" s="26"/>
      <c r="E436" s="67"/>
      <c r="F436" s="67"/>
      <c r="G436" s="69"/>
      <c r="H436" s="69"/>
      <c r="I436" s="69"/>
      <c r="J436" s="70"/>
      <c r="K436" s="71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</row>
    <row r="437">
      <c r="A437" s="66"/>
      <c r="B437" s="66"/>
      <c r="C437" s="66"/>
      <c r="D437" s="26"/>
      <c r="E437" s="67"/>
      <c r="F437" s="67"/>
      <c r="G437" s="69"/>
      <c r="H437" s="69"/>
      <c r="I437" s="69"/>
      <c r="J437" s="70"/>
      <c r="K437" s="71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</row>
    <row r="438">
      <c r="A438" s="66"/>
      <c r="B438" s="66"/>
      <c r="C438" s="66"/>
      <c r="D438" s="26"/>
      <c r="E438" s="67"/>
      <c r="F438" s="67"/>
      <c r="G438" s="69"/>
      <c r="H438" s="69"/>
      <c r="I438" s="69"/>
      <c r="J438" s="70"/>
      <c r="K438" s="71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</row>
    <row r="439">
      <c r="A439" s="66"/>
      <c r="B439" s="66"/>
      <c r="C439" s="66"/>
      <c r="D439" s="26"/>
      <c r="E439" s="67"/>
      <c r="F439" s="67"/>
      <c r="G439" s="69"/>
      <c r="H439" s="69"/>
      <c r="I439" s="69"/>
      <c r="J439" s="70"/>
      <c r="K439" s="71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</row>
    <row r="440">
      <c r="A440" s="66"/>
      <c r="B440" s="66"/>
      <c r="C440" s="66"/>
      <c r="D440" s="26"/>
      <c r="E440" s="67"/>
      <c r="F440" s="67"/>
      <c r="G440" s="69"/>
      <c r="H440" s="69"/>
      <c r="I440" s="69"/>
      <c r="J440" s="70"/>
      <c r="K440" s="71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</row>
    <row r="441">
      <c r="A441" s="66"/>
      <c r="B441" s="66"/>
      <c r="C441" s="66"/>
      <c r="D441" s="26"/>
      <c r="E441" s="67"/>
      <c r="F441" s="67"/>
      <c r="G441" s="69"/>
      <c r="H441" s="69"/>
      <c r="I441" s="69"/>
      <c r="J441" s="70"/>
      <c r="K441" s="71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</row>
    <row r="442">
      <c r="A442" s="66"/>
      <c r="B442" s="66"/>
      <c r="C442" s="66"/>
      <c r="D442" s="26"/>
      <c r="E442" s="67"/>
      <c r="F442" s="67"/>
      <c r="G442" s="69"/>
      <c r="H442" s="69"/>
      <c r="I442" s="69"/>
      <c r="J442" s="70"/>
      <c r="K442" s="71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</row>
    <row r="443">
      <c r="A443" s="66"/>
      <c r="B443" s="66"/>
      <c r="C443" s="66"/>
      <c r="D443" s="26"/>
      <c r="E443" s="67"/>
      <c r="F443" s="67"/>
      <c r="G443" s="69"/>
      <c r="H443" s="69"/>
      <c r="I443" s="69"/>
      <c r="J443" s="70"/>
      <c r="K443" s="71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</row>
    <row r="444">
      <c r="A444" s="66"/>
      <c r="B444" s="66"/>
      <c r="C444" s="66"/>
      <c r="D444" s="26"/>
      <c r="E444" s="67"/>
      <c r="F444" s="67"/>
      <c r="G444" s="69"/>
      <c r="H444" s="69"/>
      <c r="I444" s="69"/>
      <c r="J444" s="70"/>
      <c r="K444" s="71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</row>
    <row r="445">
      <c r="A445" s="66"/>
      <c r="B445" s="66"/>
      <c r="C445" s="66"/>
      <c r="D445" s="26"/>
      <c r="E445" s="67"/>
      <c r="F445" s="67"/>
      <c r="G445" s="69"/>
      <c r="H445" s="69"/>
      <c r="I445" s="69"/>
      <c r="J445" s="70"/>
      <c r="K445" s="71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</row>
    <row r="446">
      <c r="A446" s="66"/>
      <c r="B446" s="66"/>
      <c r="C446" s="66"/>
      <c r="D446" s="26"/>
      <c r="E446" s="67"/>
      <c r="F446" s="67"/>
      <c r="G446" s="69"/>
      <c r="H446" s="69"/>
      <c r="I446" s="69"/>
      <c r="J446" s="70"/>
      <c r="K446" s="71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</row>
    <row r="447">
      <c r="A447" s="66"/>
      <c r="B447" s="66"/>
      <c r="C447" s="66"/>
      <c r="D447" s="26"/>
      <c r="E447" s="67"/>
      <c r="F447" s="67"/>
      <c r="G447" s="69"/>
      <c r="H447" s="69"/>
      <c r="I447" s="69"/>
      <c r="J447" s="70"/>
      <c r="K447" s="71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</row>
    <row r="448">
      <c r="A448" s="66"/>
      <c r="B448" s="66"/>
      <c r="C448" s="66"/>
      <c r="D448" s="26"/>
      <c r="E448" s="67"/>
      <c r="F448" s="67"/>
      <c r="G448" s="69"/>
      <c r="H448" s="69"/>
      <c r="I448" s="69"/>
      <c r="J448" s="70"/>
      <c r="K448" s="71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</row>
    <row r="449">
      <c r="A449" s="66"/>
      <c r="B449" s="66"/>
      <c r="C449" s="66"/>
      <c r="D449" s="26"/>
      <c r="E449" s="67"/>
      <c r="F449" s="67"/>
      <c r="G449" s="69"/>
      <c r="H449" s="69"/>
      <c r="I449" s="69"/>
      <c r="J449" s="70"/>
      <c r="K449" s="71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</row>
    <row r="450">
      <c r="A450" s="66"/>
      <c r="B450" s="66"/>
      <c r="C450" s="66"/>
      <c r="D450" s="26"/>
      <c r="E450" s="67"/>
      <c r="F450" s="67"/>
      <c r="G450" s="69"/>
      <c r="H450" s="69"/>
      <c r="I450" s="69"/>
      <c r="J450" s="70"/>
      <c r="K450" s="71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</row>
    <row r="451">
      <c r="A451" s="66"/>
      <c r="B451" s="66"/>
      <c r="C451" s="66"/>
      <c r="D451" s="26"/>
      <c r="E451" s="67"/>
      <c r="F451" s="67"/>
      <c r="G451" s="69"/>
      <c r="H451" s="69"/>
      <c r="I451" s="69"/>
      <c r="J451" s="70"/>
      <c r="K451" s="71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</row>
    <row r="452">
      <c r="A452" s="66"/>
      <c r="B452" s="66"/>
      <c r="C452" s="66"/>
      <c r="D452" s="26"/>
      <c r="E452" s="67"/>
      <c r="F452" s="67"/>
      <c r="G452" s="69"/>
      <c r="H452" s="69"/>
      <c r="I452" s="69"/>
      <c r="J452" s="70"/>
      <c r="K452" s="71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</row>
    <row r="453">
      <c r="A453" s="66"/>
      <c r="B453" s="66"/>
      <c r="C453" s="66"/>
      <c r="D453" s="26"/>
      <c r="E453" s="67"/>
      <c r="F453" s="67"/>
      <c r="G453" s="69"/>
      <c r="H453" s="69"/>
      <c r="I453" s="69"/>
      <c r="J453" s="70"/>
      <c r="K453" s="71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</row>
    <row r="454">
      <c r="A454" s="66"/>
      <c r="B454" s="66"/>
      <c r="C454" s="66"/>
      <c r="D454" s="26"/>
      <c r="E454" s="67"/>
      <c r="F454" s="67"/>
      <c r="G454" s="69"/>
      <c r="H454" s="69"/>
      <c r="I454" s="69"/>
      <c r="J454" s="70"/>
      <c r="K454" s="71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</row>
    <row r="455">
      <c r="A455" s="66"/>
      <c r="B455" s="66"/>
      <c r="C455" s="66"/>
      <c r="D455" s="26"/>
      <c r="E455" s="67"/>
      <c r="F455" s="67"/>
      <c r="G455" s="69"/>
      <c r="H455" s="69"/>
      <c r="I455" s="69"/>
      <c r="J455" s="70"/>
      <c r="K455" s="71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</row>
    <row r="456">
      <c r="A456" s="66"/>
      <c r="B456" s="66"/>
      <c r="C456" s="66"/>
      <c r="D456" s="26"/>
      <c r="E456" s="67"/>
      <c r="F456" s="67"/>
      <c r="G456" s="69"/>
      <c r="H456" s="69"/>
      <c r="I456" s="69"/>
      <c r="J456" s="70"/>
      <c r="K456" s="71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</row>
    <row r="457">
      <c r="A457" s="66"/>
      <c r="B457" s="66"/>
      <c r="C457" s="66"/>
      <c r="D457" s="26"/>
      <c r="E457" s="67"/>
      <c r="F457" s="67"/>
      <c r="G457" s="69"/>
      <c r="H457" s="69"/>
      <c r="I457" s="69"/>
      <c r="J457" s="70"/>
      <c r="K457" s="71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</row>
    <row r="458">
      <c r="A458" s="66"/>
      <c r="B458" s="66"/>
      <c r="C458" s="66"/>
      <c r="D458" s="26"/>
      <c r="E458" s="67"/>
      <c r="F458" s="67"/>
      <c r="G458" s="69"/>
      <c r="H458" s="69"/>
      <c r="I458" s="69"/>
      <c r="J458" s="70"/>
      <c r="K458" s="71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</row>
    <row r="459">
      <c r="A459" s="66"/>
      <c r="B459" s="66"/>
      <c r="C459" s="66"/>
      <c r="D459" s="26"/>
      <c r="E459" s="67"/>
      <c r="F459" s="67"/>
      <c r="G459" s="69"/>
      <c r="H459" s="69"/>
      <c r="I459" s="69"/>
      <c r="J459" s="70"/>
      <c r="K459" s="71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</row>
    <row r="460">
      <c r="A460" s="66"/>
      <c r="B460" s="66"/>
      <c r="C460" s="66"/>
      <c r="D460" s="26"/>
      <c r="E460" s="67"/>
      <c r="F460" s="67"/>
      <c r="G460" s="69"/>
      <c r="H460" s="69"/>
      <c r="I460" s="69"/>
      <c r="J460" s="70"/>
      <c r="K460" s="71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</row>
    <row r="461">
      <c r="A461" s="66"/>
      <c r="B461" s="66"/>
      <c r="C461" s="66"/>
      <c r="D461" s="26"/>
      <c r="E461" s="67"/>
      <c r="F461" s="67"/>
      <c r="G461" s="69"/>
      <c r="H461" s="69"/>
      <c r="I461" s="69"/>
      <c r="J461" s="70"/>
      <c r="K461" s="71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</row>
    <row r="462">
      <c r="A462" s="66"/>
      <c r="B462" s="66"/>
      <c r="C462" s="66"/>
      <c r="D462" s="26"/>
      <c r="E462" s="67"/>
      <c r="F462" s="67"/>
      <c r="G462" s="69"/>
      <c r="H462" s="69"/>
      <c r="I462" s="69"/>
      <c r="J462" s="70"/>
      <c r="K462" s="71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</row>
    <row r="463">
      <c r="A463" s="66"/>
      <c r="B463" s="66"/>
      <c r="C463" s="66"/>
      <c r="D463" s="26"/>
      <c r="E463" s="67"/>
      <c r="F463" s="67"/>
      <c r="G463" s="69"/>
      <c r="H463" s="69"/>
      <c r="I463" s="69"/>
      <c r="J463" s="70"/>
      <c r="K463" s="71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</row>
    <row r="464">
      <c r="A464" s="66"/>
      <c r="B464" s="66"/>
      <c r="C464" s="66"/>
      <c r="D464" s="26"/>
      <c r="E464" s="67"/>
      <c r="F464" s="67"/>
      <c r="G464" s="69"/>
      <c r="H464" s="69"/>
      <c r="I464" s="69"/>
      <c r="J464" s="70"/>
      <c r="K464" s="71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</row>
    <row r="465">
      <c r="A465" s="66"/>
      <c r="B465" s="66"/>
      <c r="C465" s="66"/>
      <c r="D465" s="26"/>
      <c r="E465" s="67"/>
      <c r="F465" s="67"/>
      <c r="G465" s="69"/>
      <c r="H465" s="69"/>
      <c r="I465" s="69"/>
      <c r="J465" s="70"/>
      <c r="K465" s="71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</row>
    <row r="466">
      <c r="A466" s="66"/>
      <c r="B466" s="66"/>
      <c r="C466" s="66"/>
      <c r="D466" s="26"/>
      <c r="E466" s="67"/>
      <c r="F466" s="67"/>
      <c r="G466" s="69"/>
      <c r="H466" s="69"/>
      <c r="I466" s="69"/>
      <c r="J466" s="70"/>
      <c r="K466" s="71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</row>
    <row r="467">
      <c r="A467" s="66"/>
      <c r="B467" s="66"/>
      <c r="C467" s="66"/>
      <c r="D467" s="26"/>
      <c r="E467" s="67"/>
      <c r="F467" s="67"/>
      <c r="G467" s="69"/>
      <c r="H467" s="69"/>
      <c r="I467" s="69"/>
      <c r="J467" s="70"/>
      <c r="K467" s="71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</row>
    <row r="468">
      <c r="A468" s="66"/>
      <c r="B468" s="66"/>
      <c r="C468" s="66"/>
      <c r="D468" s="26"/>
      <c r="E468" s="67"/>
      <c r="F468" s="67"/>
      <c r="G468" s="69"/>
      <c r="H468" s="69"/>
      <c r="I468" s="69"/>
      <c r="J468" s="70"/>
      <c r="K468" s="71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</row>
    <row r="469">
      <c r="A469" s="66"/>
      <c r="B469" s="66"/>
      <c r="C469" s="66"/>
      <c r="D469" s="26"/>
      <c r="E469" s="67"/>
      <c r="F469" s="67"/>
      <c r="G469" s="69"/>
      <c r="H469" s="69"/>
      <c r="I469" s="69"/>
      <c r="J469" s="70"/>
      <c r="K469" s="71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</row>
    <row r="470">
      <c r="A470" s="66"/>
      <c r="B470" s="66"/>
      <c r="C470" s="66"/>
      <c r="D470" s="26"/>
      <c r="E470" s="67"/>
      <c r="F470" s="67"/>
      <c r="G470" s="69"/>
      <c r="H470" s="69"/>
      <c r="I470" s="69"/>
      <c r="J470" s="70"/>
      <c r="K470" s="71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</row>
    <row r="471">
      <c r="A471" s="66"/>
      <c r="B471" s="66"/>
      <c r="C471" s="66"/>
      <c r="D471" s="26"/>
      <c r="E471" s="67"/>
      <c r="F471" s="67"/>
      <c r="G471" s="69"/>
      <c r="H471" s="69"/>
      <c r="I471" s="69"/>
      <c r="J471" s="70"/>
      <c r="K471" s="71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</row>
    <row r="472">
      <c r="A472" s="66"/>
      <c r="B472" s="66"/>
      <c r="C472" s="66"/>
      <c r="D472" s="26"/>
      <c r="E472" s="67"/>
      <c r="F472" s="67"/>
      <c r="G472" s="69"/>
      <c r="H472" s="69"/>
      <c r="I472" s="69"/>
      <c r="J472" s="70"/>
      <c r="K472" s="71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</row>
    <row r="473">
      <c r="A473" s="66"/>
      <c r="B473" s="66"/>
      <c r="C473" s="66"/>
      <c r="D473" s="26"/>
      <c r="E473" s="67"/>
      <c r="F473" s="67"/>
      <c r="G473" s="69"/>
      <c r="H473" s="69"/>
      <c r="I473" s="69"/>
      <c r="J473" s="70"/>
      <c r="K473" s="71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</row>
    <row r="474">
      <c r="A474" s="66"/>
      <c r="B474" s="66"/>
      <c r="C474" s="66"/>
      <c r="D474" s="26"/>
      <c r="E474" s="67"/>
      <c r="F474" s="67"/>
      <c r="G474" s="69"/>
      <c r="H474" s="69"/>
      <c r="I474" s="69"/>
      <c r="J474" s="70"/>
      <c r="K474" s="71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</row>
    <row r="475">
      <c r="A475" s="66"/>
      <c r="B475" s="66"/>
      <c r="C475" s="66"/>
      <c r="D475" s="26"/>
      <c r="E475" s="67"/>
      <c r="F475" s="67"/>
      <c r="G475" s="69"/>
      <c r="H475" s="69"/>
      <c r="I475" s="69"/>
      <c r="J475" s="70"/>
      <c r="K475" s="71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</row>
    <row r="476">
      <c r="A476" s="66"/>
      <c r="B476" s="66"/>
      <c r="C476" s="66"/>
      <c r="D476" s="26"/>
      <c r="E476" s="67"/>
      <c r="F476" s="67"/>
      <c r="G476" s="69"/>
      <c r="H476" s="69"/>
      <c r="I476" s="69"/>
      <c r="J476" s="70"/>
      <c r="K476" s="71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</row>
    <row r="477">
      <c r="A477" s="66"/>
      <c r="B477" s="66"/>
      <c r="C477" s="66"/>
      <c r="D477" s="26"/>
      <c r="E477" s="67"/>
      <c r="F477" s="67"/>
      <c r="G477" s="69"/>
      <c r="H477" s="69"/>
      <c r="I477" s="69"/>
      <c r="J477" s="70"/>
      <c r="K477" s="71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</row>
    <row r="478">
      <c r="A478" s="66"/>
      <c r="B478" s="66"/>
      <c r="C478" s="66"/>
      <c r="D478" s="26"/>
      <c r="E478" s="67"/>
      <c r="F478" s="67"/>
      <c r="G478" s="69"/>
      <c r="H478" s="69"/>
      <c r="I478" s="69"/>
      <c r="J478" s="70"/>
      <c r="K478" s="71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</row>
    <row r="479">
      <c r="A479" s="66"/>
      <c r="B479" s="66"/>
      <c r="C479" s="66"/>
      <c r="D479" s="26"/>
      <c r="E479" s="67"/>
      <c r="F479" s="67"/>
      <c r="G479" s="69"/>
      <c r="H479" s="69"/>
      <c r="I479" s="69"/>
      <c r="J479" s="70"/>
      <c r="K479" s="71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</row>
    <row r="480">
      <c r="A480" s="66"/>
      <c r="B480" s="66"/>
      <c r="C480" s="66"/>
      <c r="D480" s="26"/>
      <c r="E480" s="67"/>
      <c r="F480" s="67"/>
      <c r="G480" s="69"/>
      <c r="H480" s="69"/>
      <c r="I480" s="69"/>
      <c r="J480" s="70"/>
      <c r="K480" s="71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</row>
    <row r="481">
      <c r="A481" s="66"/>
      <c r="B481" s="66"/>
      <c r="C481" s="66"/>
      <c r="D481" s="26"/>
      <c r="E481" s="67"/>
      <c r="F481" s="67"/>
      <c r="G481" s="69"/>
      <c r="H481" s="69"/>
      <c r="I481" s="69"/>
      <c r="J481" s="70"/>
      <c r="K481" s="71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</row>
    <row r="482">
      <c r="A482" s="66"/>
      <c r="B482" s="66"/>
      <c r="C482" s="66"/>
      <c r="D482" s="26"/>
      <c r="E482" s="67"/>
      <c r="F482" s="67"/>
      <c r="G482" s="69"/>
      <c r="H482" s="69"/>
      <c r="I482" s="69"/>
      <c r="J482" s="70"/>
      <c r="K482" s="71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</row>
    <row r="483">
      <c r="A483" s="66"/>
      <c r="B483" s="66"/>
      <c r="C483" s="66"/>
      <c r="D483" s="26"/>
      <c r="E483" s="67"/>
      <c r="F483" s="67"/>
      <c r="G483" s="69"/>
      <c r="H483" s="69"/>
      <c r="I483" s="69"/>
      <c r="J483" s="70"/>
      <c r="K483" s="71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</row>
    <row r="484">
      <c r="A484" s="66"/>
      <c r="B484" s="66"/>
      <c r="C484" s="66"/>
      <c r="D484" s="26"/>
      <c r="E484" s="67"/>
      <c r="F484" s="67"/>
      <c r="G484" s="69"/>
      <c r="H484" s="69"/>
      <c r="I484" s="69"/>
      <c r="J484" s="70"/>
      <c r="K484" s="71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</row>
    <row r="485">
      <c r="A485" s="66"/>
      <c r="B485" s="66"/>
      <c r="C485" s="66"/>
      <c r="D485" s="26"/>
      <c r="E485" s="67"/>
      <c r="F485" s="67"/>
      <c r="G485" s="69"/>
      <c r="H485" s="69"/>
      <c r="I485" s="69"/>
      <c r="J485" s="70"/>
      <c r="K485" s="71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</row>
    <row r="486">
      <c r="A486" s="66"/>
      <c r="B486" s="66"/>
      <c r="C486" s="66"/>
      <c r="D486" s="26"/>
      <c r="E486" s="67"/>
      <c r="F486" s="67"/>
      <c r="G486" s="69"/>
      <c r="H486" s="69"/>
      <c r="I486" s="69"/>
      <c r="J486" s="70"/>
      <c r="K486" s="71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</row>
    <row r="487">
      <c r="A487" s="66"/>
      <c r="B487" s="66"/>
      <c r="C487" s="66"/>
      <c r="D487" s="26"/>
      <c r="E487" s="67"/>
      <c r="F487" s="67"/>
      <c r="G487" s="69"/>
      <c r="H487" s="69"/>
      <c r="I487" s="69"/>
      <c r="J487" s="70"/>
      <c r="K487" s="71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</row>
    <row r="488">
      <c r="A488" s="66"/>
      <c r="B488" s="66"/>
      <c r="C488" s="66"/>
      <c r="D488" s="26"/>
      <c r="E488" s="67"/>
      <c r="F488" s="67"/>
      <c r="G488" s="69"/>
      <c r="H488" s="69"/>
      <c r="I488" s="69"/>
      <c r="J488" s="70"/>
      <c r="K488" s="71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</row>
    <row r="489">
      <c r="A489" s="66"/>
      <c r="B489" s="66"/>
      <c r="C489" s="66"/>
      <c r="D489" s="26"/>
      <c r="E489" s="67"/>
      <c r="F489" s="67"/>
      <c r="G489" s="69"/>
      <c r="H489" s="69"/>
      <c r="I489" s="69"/>
      <c r="J489" s="70"/>
      <c r="K489" s="71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</row>
    <row r="490">
      <c r="A490" s="66"/>
      <c r="B490" s="66"/>
      <c r="C490" s="66"/>
      <c r="D490" s="26"/>
      <c r="E490" s="67"/>
      <c r="F490" s="67"/>
      <c r="G490" s="69"/>
      <c r="H490" s="69"/>
      <c r="I490" s="69"/>
      <c r="J490" s="70"/>
      <c r="K490" s="71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</row>
    <row r="491">
      <c r="A491" s="66"/>
      <c r="B491" s="66"/>
      <c r="C491" s="66"/>
      <c r="D491" s="26"/>
      <c r="E491" s="67"/>
      <c r="F491" s="67"/>
      <c r="G491" s="69"/>
      <c r="H491" s="69"/>
      <c r="I491" s="69"/>
      <c r="J491" s="70"/>
      <c r="K491" s="71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</row>
    <row r="492">
      <c r="A492" s="66"/>
      <c r="B492" s="66"/>
      <c r="C492" s="66"/>
      <c r="D492" s="26"/>
      <c r="E492" s="67"/>
      <c r="F492" s="67"/>
      <c r="G492" s="69"/>
      <c r="H492" s="69"/>
      <c r="I492" s="69"/>
      <c r="J492" s="70"/>
      <c r="K492" s="71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</row>
    <row r="493">
      <c r="A493" s="66"/>
      <c r="B493" s="66"/>
      <c r="C493" s="66"/>
      <c r="D493" s="26"/>
      <c r="E493" s="67"/>
      <c r="F493" s="67"/>
      <c r="G493" s="69"/>
      <c r="H493" s="69"/>
      <c r="I493" s="69"/>
      <c r="J493" s="70"/>
      <c r="K493" s="71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</row>
    <row r="494">
      <c r="A494" s="66"/>
      <c r="B494" s="66"/>
      <c r="C494" s="66"/>
      <c r="D494" s="26"/>
      <c r="E494" s="67"/>
      <c r="F494" s="67"/>
      <c r="G494" s="69"/>
      <c r="H494" s="69"/>
      <c r="I494" s="69"/>
      <c r="J494" s="70"/>
      <c r="K494" s="71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</row>
    <row r="495">
      <c r="A495" s="66"/>
      <c r="B495" s="66"/>
      <c r="C495" s="66"/>
      <c r="D495" s="26"/>
      <c r="E495" s="67"/>
      <c r="F495" s="67"/>
      <c r="G495" s="69"/>
      <c r="H495" s="69"/>
      <c r="I495" s="69"/>
      <c r="J495" s="70"/>
      <c r="K495" s="71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</row>
    <row r="496">
      <c r="A496" s="66"/>
      <c r="B496" s="66"/>
      <c r="C496" s="66"/>
      <c r="D496" s="26"/>
      <c r="E496" s="67"/>
      <c r="F496" s="67"/>
      <c r="G496" s="69"/>
      <c r="H496" s="69"/>
      <c r="I496" s="69"/>
      <c r="J496" s="70"/>
      <c r="K496" s="71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</row>
    <row r="497">
      <c r="A497" s="66"/>
      <c r="B497" s="66"/>
      <c r="C497" s="66"/>
      <c r="D497" s="26"/>
      <c r="E497" s="67"/>
      <c r="F497" s="67"/>
      <c r="G497" s="69"/>
      <c r="H497" s="69"/>
      <c r="I497" s="69"/>
      <c r="J497" s="70"/>
      <c r="K497" s="71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</row>
    <row r="498">
      <c r="A498" s="66"/>
      <c r="B498" s="66"/>
      <c r="C498" s="66"/>
      <c r="D498" s="26"/>
      <c r="E498" s="67"/>
      <c r="F498" s="67"/>
      <c r="G498" s="69"/>
      <c r="H498" s="69"/>
      <c r="I498" s="69"/>
      <c r="J498" s="70"/>
      <c r="K498" s="71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</row>
    <row r="499">
      <c r="A499" s="66"/>
      <c r="B499" s="66"/>
      <c r="C499" s="66"/>
      <c r="D499" s="26"/>
      <c r="E499" s="67"/>
      <c r="F499" s="67"/>
      <c r="G499" s="69"/>
      <c r="H499" s="69"/>
      <c r="I499" s="69"/>
      <c r="J499" s="70"/>
      <c r="K499" s="71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</row>
    <row r="500">
      <c r="A500" s="66"/>
      <c r="B500" s="66"/>
      <c r="C500" s="66"/>
      <c r="D500" s="26"/>
      <c r="E500" s="67"/>
      <c r="F500" s="67"/>
      <c r="G500" s="69"/>
      <c r="H500" s="69"/>
      <c r="I500" s="69"/>
      <c r="J500" s="70"/>
      <c r="K500" s="71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</row>
    <row r="501">
      <c r="A501" s="66"/>
      <c r="B501" s="66"/>
      <c r="C501" s="66"/>
      <c r="D501" s="26"/>
      <c r="E501" s="67"/>
      <c r="F501" s="67"/>
      <c r="G501" s="69"/>
      <c r="H501" s="69"/>
      <c r="I501" s="69"/>
      <c r="J501" s="70"/>
      <c r="K501" s="71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</row>
    <row r="502">
      <c r="A502" s="66"/>
      <c r="B502" s="66"/>
      <c r="C502" s="66"/>
      <c r="D502" s="26"/>
      <c r="E502" s="67"/>
      <c r="F502" s="67"/>
      <c r="G502" s="69"/>
      <c r="H502" s="69"/>
      <c r="I502" s="69"/>
      <c r="J502" s="70"/>
      <c r="K502" s="71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</row>
    <row r="503">
      <c r="A503" s="66"/>
      <c r="B503" s="66"/>
      <c r="C503" s="66"/>
      <c r="D503" s="26"/>
      <c r="E503" s="67"/>
      <c r="F503" s="67"/>
      <c r="G503" s="69"/>
      <c r="H503" s="69"/>
      <c r="I503" s="69"/>
      <c r="J503" s="70"/>
      <c r="K503" s="71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</row>
    <row r="504">
      <c r="A504" s="66"/>
      <c r="B504" s="66"/>
      <c r="C504" s="66"/>
      <c r="D504" s="26"/>
      <c r="E504" s="67"/>
      <c r="F504" s="67"/>
      <c r="G504" s="69"/>
      <c r="H504" s="69"/>
      <c r="I504" s="69"/>
      <c r="J504" s="70"/>
      <c r="K504" s="71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</row>
    <row r="505">
      <c r="A505" s="66"/>
      <c r="B505" s="66"/>
      <c r="C505" s="66"/>
      <c r="D505" s="26"/>
      <c r="E505" s="67"/>
      <c r="F505" s="67"/>
      <c r="G505" s="69"/>
      <c r="H505" s="69"/>
      <c r="I505" s="69"/>
      <c r="J505" s="70"/>
      <c r="K505" s="71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</row>
    <row r="506">
      <c r="A506" s="66"/>
      <c r="B506" s="66"/>
      <c r="C506" s="66"/>
      <c r="D506" s="26"/>
      <c r="E506" s="67"/>
      <c r="F506" s="67"/>
      <c r="G506" s="69"/>
      <c r="H506" s="69"/>
      <c r="I506" s="69"/>
      <c r="J506" s="70"/>
      <c r="K506" s="71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</row>
    <row r="507">
      <c r="A507" s="66"/>
      <c r="B507" s="66"/>
      <c r="C507" s="66"/>
      <c r="D507" s="26"/>
      <c r="E507" s="67"/>
      <c r="F507" s="67"/>
      <c r="G507" s="69"/>
      <c r="H507" s="69"/>
      <c r="I507" s="69"/>
      <c r="J507" s="70"/>
      <c r="K507" s="71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</row>
    <row r="508">
      <c r="A508" s="66"/>
      <c r="B508" s="66"/>
      <c r="C508" s="66"/>
      <c r="D508" s="26"/>
      <c r="E508" s="67"/>
      <c r="F508" s="67"/>
      <c r="G508" s="69"/>
      <c r="H508" s="69"/>
      <c r="I508" s="69"/>
      <c r="J508" s="70"/>
      <c r="K508" s="71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</row>
    <row r="509">
      <c r="A509" s="66"/>
      <c r="B509" s="66"/>
      <c r="C509" s="66"/>
      <c r="D509" s="26"/>
      <c r="E509" s="67"/>
      <c r="F509" s="67"/>
      <c r="G509" s="69"/>
      <c r="H509" s="69"/>
      <c r="I509" s="69"/>
      <c r="J509" s="70"/>
      <c r="K509" s="71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</row>
    <row r="510">
      <c r="A510" s="66"/>
      <c r="B510" s="66"/>
      <c r="C510" s="66"/>
      <c r="D510" s="26"/>
      <c r="E510" s="67"/>
      <c r="F510" s="67"/>
      <c r="G510" s="69"/>
      <c r="H510" s="69"/>
      <c r="I510" s="69"/>
      <c r="J510" s="70"/>
      <c r="K510" s="71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</row>
    <row r="511">
      <c r="A511" s="66"/>
      <c r="B511" s="66"/>
      <c r="C511" s="66"/>
      <c r="D511" s="26"/>
      <c r="E511" s="67"/>
      <c r="F511" s="67"/>
      <c r="G511" s="69"/>
      <c r="H511" s="69"/>
      <c r="I511" s="69"/>
      <c r="J511" s="70"/>
      <c r="K511" s="71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</row>
    <row r="512">
      <c r="A512" s="66"/>
      <c r="B512" s="66"/>
      <c r="C512" s="66"/>
      <c r="D512" s="26"/>
      <c r="E512" s="67"/>
      <c r="F512" s="67"/>
      <c r="G512" s="69"/>
      <c r="H512" s="69"/>
      <c r="I512" s="69"/>
      <c r="J512" s="70"/>
      <c r="K512" s="71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</row>
    <row r="513">
      <c r="A513" s="66"/>
      <c r="B513" s="66"/>
      <c r="C513" s="66"/>
      <c r="D513" s="26"/>
      <c r="E513" s="67"/>
      <c r="F513" s="67"/>
      <c r="G513" s="69"/>
      <c r="H513" s="69"/>
      <c r="I513" s="69"/>
      <c r="J513" s="70"/>
      <c r="K513" s="71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</row>
    <row r="514">
      <c r="A514" s="66"/>
      <c r="B514" s="66"/>
      <c r="C514" s="66"/>
      <c r="D514" s="26"/>
      <c r="E514" s="67"/>
      <c r="F514" s="67"/>
      <c r="G514" s="69"/>
      <c r="H514" s="69"/>
      <c r="I514" s="69"/>
      <c r="J514" s="70"/>
      <c r="K514" s="71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</row>
    <row r="515">
      <c r="A515" s="66"/>
      <c r="B515" s="66"/>
      <c r="C515" s="66"/>
      <c r="D515" s="26"/>
      <c r="E515" s="67"/>
      <c r="F515" s="67"/>
      <c r="G515" s="69"/>
      <c r="H515" s="69"/>
      <c r="I515" s="69"/>
      <c r="J515" s="70"/>
      <c r="K515" s="71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</row>
    <row r="516">
      <c r="A516" s="66"/>
      <c r="B516" s="66"/>
      <c r="C516" s="66"/>
      <c r="D516" s="26"/>
      <c r="E516" s="67"/>
      <c r="F516" s="67"/>
      <c r="G516" s="69"/>
      <c r="H516" s="69"/>
      <c r="I516" s="69"/>
      <c r="J516" s="70"/>
      <c r="K516" s="71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</row>
    <row r="517">
      <c r="A517" s="66"/>
      <c r="B517" s="66"/>
      <c r="C517" s="66"/>
      <c r="D517" s="26"/>
      <c r="E517" s="67"/>
      <c r="F517" s="67"/>
      <c r="G517" s="69"/>
      <c r="H517" s="69"/>
      <c r="I517" s="69"/>
      <c r="J517" s="70"/>
      <c r="K517" s="71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</row>
    <row r="518">
      <c r="A518" s="66"/>
      <c r="B518" s="66"/>
      <c r="C518" s="66"/>
      <c r="D518" s="26"/>
      <c r="E518" s="67"/>
      <c r="F518" s="67"/>
      <c r="G518" s="69"/>
      <c r="H518" s="69"/>
      <c r="I518" s="69"/>
      <c r="J518" s="70"/>
      <c r="K518" s="71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</row>
    <row r="519">
      <c r="A519" s="66"/>
      <c r="B519" s="66"/>
      <c r="C519" s="66"/>
      <c r="D519" s="26"/>
      <c r="E519" s="67"/>
      <c r="F519" s="67"/>
      <c r="G519" s="69"/>
      <c r="H519" s="69"/>
      <c r="I519" s="69"/>
      <c r="J519" s="70"/>
      <c r="K519" s="71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</row>
    <row r="520">
      <c r="A520" s="66"/>
      <c r="B520" s="66"/>
      <c r="C520" s="66"/>
      <c r="D520" s="26"/>
      <c r="E520" s="67"/>
      <c r="F520" s="67"/>
      <c r="G520" s="69"/>
      <c r="H520" s="69"/>
      <c r="I520" s="69"/>
      <c r="J520" s="70"/>
      <c r="K520" s="71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</row>
    <row r="521">
      <c r="A521" s="66"/>
      <c r="B521" s="66"/>
      <c r="C521" s="66"/>
      <c r="D521" s="26"/>
      <c r="E521" s="67"/>
      <c r="F521" s="67"/>
      <c r="G521" s="69"/>
      <c r="H521" s="69"/>
      <c r="I521" s="69"/>
      <c r="J521" s="70"/>
      <c r="K521" s="71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</row>
    <row r="522">
      <c r="A522" s="66"/>
      <c r="B522" s="66"/>
      <c r="C522" s="66"/>
      <c r="D522" s="26"/>
      <c r="E522" s="67"/>
      <c r="F522" s="67"/>
      <c r="G522" s="69"/>
      <c r="H522" s="69"/>
      <c r="I522" s="69"/>
      <c r="J522" s="70"/>
      <c r="K522" s="71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</row>
    <row r="523">
      <c r="A523" s="66"/>
      <c r="B523" s="66"/>
      <c r="C523" s="66"/>
      <c r="D523" s="26"/>
      <c r="E523" s="67"/>
      <c r="F523" s="67"/>
      <c r="G523" s="69"/>
      <c r="H523" s="69"/>
      <c r="I523" s="69"/>
      <c r="J523" s="70"/>
      <c r="K523" s="71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</row>
    <row r="524">
      <c r="A524" s="66"/>
      <c r="B524" s="66"/>
      <c r="C524" s="66"/>
      <c r="D524" s="26"/>
      <c r="E524" s="67"/>
      <c r="F524" s="67"/>
      <c r="G524" s="69"/>
      <c r="H524" s="69"/>
      <c r="I524" s="69"/>
      <c r="J524" s="70"/>
      <c r="K524" s="71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</row>
    <row r="525">
      <c r="A525" s="66"/>
      <c r="B525" s="66"/>
      <c r="C525" s="66"/>
      <c r="D525" s="26"/>
      <c r="E525" s="67"/>
      <c r="F525" s="67"/>
      <c r="G525" s="69"/>
      <c r="H525" s="69"/>
      <c r="I525" s="69"/>
      <c r="J525" s="70"/>
      <c r="K525" s="71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</row>
    <row r="526">
      <c r="A526" s="66"/>
      <c r="B526" s="66"/>
      <c r="C526" s="66"/>
      <c r="D526" s="26"/>
      <c r="E526" s="67"/>
      <c r="F526" s="67"/>
      <c r="G526" s="69"/>
      <c r="H526" s="69"/>
      <c r="I526" s="69"/>
      <c r="J526" s="70"/>
      <c r="K526" s="71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</row>
    <row r="527">
      <c r="A527" s="66"/>
      <c r="B527" s="66"/>
      <c r="C527" s="66"/>
      <c r="D527" s="26"/>
      <c r="E527" s="67"/>
      <c r="F527" s="67"/>
      <c r="G527" s="69"/>
      <c r="H527" s="69"/>
      <c r="I527" s="69"/>
      <c r="J527" s="70"/>
      <c r="K527" s="71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</row>
    <row r="528">
      <c r="A528" s="66"/>
      <c r="B528" s="66"/>
      <c r="C528" s="66"/>
      <c r="D528" s="26"/>
      <c r="E528" s="67"/>
      <c r="F528" s="67"/>
      <c r="G528" s="69"/>
      <c r="H528" s="69"/>
      <c r="I528" s="69"/>
      <c r="J528" s="70"/>
      <c r="K528" s="71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</row>
    <row r="529">
      <c r="A529" s="66"/>
      <c r="B529" s="66"/>
      <c r="C529" s="66"/>
      <c r="D529" s="26"/>
      <c r="E529" s="67"/>
      <c r="F529" s="67"/>
      <c r="G529" s="69"/>
      <c r="H529" s="69"/>
      <c r="I529" s="69"/>
      <c r="J529" s="70"/>
      <c r="K529" s="71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</row>
    <row r="530">
      <c r="A530" s="66"/>
      <c r="B530" s="66"/>
      <c r="C530" s="66"/>
      <c r="D530" s="26"/>
      <c r="E530" s="67"/>
      <c r="F530" s="67"/>
      <c r="G530" s="69"/>
      <c r="H530" s="69"/>
      <c r="I530" s="69"/>
      <c r="J530" s="70"/>
      <c r="K530" s="71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</row>
    <row r="531">
      <c r="A531" s="66"/>
      <c r="B531" s="66"/>
      <c r="C531" s="66"/>
      <c r="D531" s="26"/>
      <c r="E531" s="67"/>
      <c r="F531" s="67"/>
      <c r="G531" s="69"/>
      <c r="H531" s="69"/>
      <c r="I531" s="69"/>
      <c r="J531" s="70"/>
      <c r="K531" s="71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</row>
    <row r="532">
      <c r="A532" s="66"/>
      <c r="B532" s="66"/>
      <c r="C532" s="66"/>
      <c r="D532" s="26"/>
      <c r="E532" s="67"/>
      <c r="F532" s="67"/>
      <c r="G532" s="69"/>
      <c r="H532" s="69"/>
      <c r="I532" s="69"/>
      <c r="J532" s="70"/>
      <c r="K532" s="71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</row>
    <row r="533">
      <c r="A533" s="66"/>
      <c r="B533" s="66"/>
      <c r="C533" s="66"/>
      <c r="D533" s="26"/>
      <c r="E533" s="67"/>
      <c r="F533" s="67"/>
      <c r="G533" s="69"/>
      <c r="H533" s="69"/>
      <c r="I533" s="69"/>
      <c r="J533" s="70"/>
      <c r="K533" s="71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</row>
    <row r="534">
      <c r="A534" s="66"/>
      <c r="B534" s="66"/>
      <c r="C534" s="66"/>
      <c r="D534" s="26"/>
      <c r="E534" s="67"/>
      <c r="F534" s="67"/>
      <c r="G534" s="69"/>
      <c r="H534" s="69"/>
      <c r="I534" s="69"/>
      <c r="J534" s="70"/>
      <c r="K534" s="71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</row>
    <row r="535">
      <c r="A535" s="66"/>
      <c r="B535" s="66"/>
      <c r="C535" s="66"/>
      <c r="D535" s="26"/>
      <c r="E535" s="67"/>
      <c r="F535" s="67"/>
      <c r="G535" s="69"/>
      <c r="H535" s="69"/>
      <c r="I535" s="69"/>
      <c r="J535" s="70"/>
      <c r="K535" s="71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</row>
    <row r="536">
      <c r="A536" s="66"/>
      <c r="B536" s="66"/>
      <c r="C536" s="66"/>
      <c r="D536" s="26"/>
      <c r="E536" s="67"/>
      <c r="F536" s="67"/>
      <c r="G536" s="69"/>
      <c r="H536" s="69"/>
      <c r="I536" s="69"/>
      <c r="J536" s="70"/>
      <c r="K536" s="71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</row>
    <row r="537">
      <c r="A537" s="66"/>
      <c r="B537" s="66"/>
      <c r="C537" s="66"/>
      <c r="D537" s="26"/>
      <c r="E537" s="67"/>
      <c r="F537" s="67"/>
      <c r="G537" s="69"/>
      <c r="H537" s="69"/>
      <c r="I537" s="69"/>
      <c r="J537" s="70"/>
      <c r="K537" s="71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</row>
    <row r="538">
      <c r="A538" s="66"/>
      <c r="B538" s="66"/>
      <c r="C538" s="66"/>
      <c r="D538" s="26"/>
      <c r="E538" s="67"/>
      <c r="F538" s="67"/>
      <c r="G538" s="69"/>
      <c r="H538" s="69"/>
      <c r="I538" s="69"/>
      <c r="J538" s="70"/>
      <c r="K538" s="71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</row>
    <row r="539">
      <c r="A539" s="66"/>
      <c r="B539" s="66"/>
      <c r="C539" s="66"/>
      <c r="D539" s="26"/>
      <c r="E539" s="67"/>
      <c r="F539" s="67"/>
      <c r="G539" s="69"/>
      <c r="H539" s="69"/>
      <c r="I539" s="69"/>
      <c r="J539" s="70"/>
      <c r="K539" s="71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</row>
    <row r="540">
      <c r="A540" s="66"/>
      <c r="B540" s="66"/>
      <c r="C540" s="66"/>
      <c r="D540" s="26"/>
      <c r="E540" s="67"/>
      <c r="F540" s="67"/>
      <c r="G540" s="69"/>
      <c r="H540" s="69"/>
      <c r="I540" s="69"/>
      <c r="J540" s="70"/>
      <c r="K540" s="71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</row>
    <row r="541">
      <c r="A541" s="66"/>
      <c r="B541" s="66"/>
      <c r="C541" s="66"/>
      <c r="D541" s="26"/>
      <c r="E541" s="67"/>
      <c r="F541" s="67"/>
      <c r="G541" s="69"/>
      <c r="H541" s="69"/>
      <c r="I541" s="69"/>
      <c r="J541" s="70"/>
      <c r="K541" s="71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</row>
    <row r="542">
      <c r="A542" s="66"/>
      <c r="B542" s="66"/>
      <c r="C542" s="66"/>
      <c r="D542" s="26"/>
      <c r="E542" s="67"/>
      <c r="F542" s="67"/>
      <c r="G542" s="69"/>
      <c r="H542" s="69"/>
      <c r="I542" s="69"/>
      <c r="J542" s="70"/>
      <c r="K542" s="71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</row>
    <row r="543">
      <c r="A543" s="66"/>
      <c r="B543" s="66"/>
      <c r="C543" s="66"/>
      <c r="D543" s="26"/>
      <c r="E543" s="67"/>
      <c r="F543" s="67"/>
      <c r="G543" s="69"/>
      <c r="H543" s="69"/>
      <c r="I543" s="69"/>
      <c r="J543" s="70"/>
      <c r="K543" s="71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</row>
    <row r="544">
      <c r="A544" s="66"/>
      <c r="B544" s="66"/>
      <c r="C544" s="66"/>
      <c r="D544" s="26"/>
      <c r="E544" s="67"/>
      <c r="F544" s="67"/>
      <c r="G544" s="69"/>
      <c r="H544" s="69"/>
      <c r="I544" s="69"/>
      <c r="J544" s="70"/>
      <c r="K544" s="71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</row>
    <row r="545">
      <c r="A545" s="66"/>
      <c r="B545" s="66"/>
      <c r="C545" s="66"/>
      <c r="D545" s="26"/>
      <c r="E545" s="67"/>
      <c r="F545" s="67"/>
      <c r="G545" s="69"/>
      <c r="H545" s="69"/>
      <c r="I545" s="69"/>
      <c r="J545" s="70"/>
      <c r="K545" s="71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</row>
    <row r="546">
      <c r="A546" s="66"/>
      <c r="B546" s="66"/>
      <c r="C546" s="66"/>
      <c r="D546" s="26"/>
      <c r="E546" s="67"/>
      <c r="F546" s="67"/>
      <c r="G546" s="69"/>
      <c r="H546" s="69"/>
      <c r="I546" s="69"/>
      <c r="J546" s="70"/>
      <c r="K546" s="71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</row>
    <row r="547">
      <c r="A547" s="66"/>
      <c r="B547" s="66"/>
      <c r="C547" s="66"/>
      <c r="D547" s="26"/>
      <c r="E547" s="67"/>
      <c r="F547" s="67"/>
      <c r="G547" s="69"/>
      <c r="H547" s="69"/>
      <c r="I547" s="69"/>
      <c r="J547" s="70"/>
      <c r="K547" s="71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</row>
    <row r="548">
      <c r="A548" s="66"/>
      <c r="B548" s="66"/>
      <c r="C548" s="66"/>
      <c r="D548" s="26"/>
      <c r="E548" s="67"/>
      <c r="F548" s="67"/>
      <c r="G548" s="69"/>
      <c r="H548" s="69"/>
      <c r="I548" s="69"/>
      <c r="J548" s="70"/>
      <c r="K548" s="71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</row>
    <row r="549">
      <c r="A549" s="66"/>
      <c r="B549" s="66"/>
      <c r="C549" s="66"/>
      <c r="D549" s="26"/>
      <c r="E549" s="67"/>
      <c r="F549" s="67"/>
      <c r="G549" s="69"/>
      <c r="H549" s="69"/>
      <c r="I549" s="69"/>
      <c r="J549" s="70"/>
      <c r="K549" s="71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</row>
    <row r="550">
      <c r="A550" s="66"/>
      <c r="B550" s="66"/>
      <c r="C550" s="66"/>
      <c r="D550" s="26"/>
      <c r="E550" s="67"/>
      <c r="F550" s="67"/>
      <c r="G550" s="69"/>
      <c r="H550" s="69"/>
      <c r="I550" s="69"/>
      <c r="J550" s="70"/>
      <c r="K550" s="71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</row>
    <row r="551">
      <c r="A551" s="66"/>
      <c r="B551" s="66"/>
      <c r="C551" s="66"/>
      <c r="D551" s="26"/>
      <c r="E551" s="67"/>
      <c r="F551" s="67"/>
      <c r="G551" s="69"/>
      <c r="H551" s="69"/>
      <c r="I551" s="69"/>
      <c r="J551" s="70"/>
      <c r="K551" s="71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</row>
    <row r="552">
      <c r="A552" s="66"/>
      <c r="B552" s="66"/>
      <c r="C552" s="66"/>
      <c r="D552" s="26"/>
      <c r="E552" s="67"/>
      <c r="F552" s="67"/>
      <c r="G552" s="69"/>
      <c r="H552" s="69"/>
      <c r="I552" s="69"/>
      <c r="J552" s="70"/>
      <c r="K552" s="71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</row>
    <row r="553">
      <c r="A553" s="66"/>
      <c r="B553" s="66"/>
      <c r="C553" s="66"/>
      <c r="D553" s="26"/>
      <c r="E553" s="67"/>
      <c r="F553" s="67"/>
      <c r="G553" s="69"/>
      <c r="H553" s="69"/>
      <c r="I553" s="69"/>
      <c r="J553" s="70"/>
      <c r="K553" s="71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</row>
    <row r="554">
      <c r="A554" s="66"/>
      <c r="B554" s="66"/>
      <c r="C554" s="66"/>
      <c r="D554" s="26"/>
      <c r="E554" s="67"/>
      <c r="F554" s="67"/>
      <c r="G554" s="69"/>
      <c r="H554" s="69"/>
      <c r="I554" s="69"/>
      <c r="J554" s="70"/>
      <c r="K554" s="71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</row>
    <row r="555">
      <c r="A555" s="66"/>
      <c r="B555" s="66"/>
      <c r="C555" s="66"/>
      <c r="D555" s="26"/>
      <c r="E555" s="67"/>
      <c r="F555" s="67"/>
      <c r="G555" s="69"/>
      <c r="H555" s="69"/>
      <c r="I555" s="69"/>
      <c r="J555" s="70"/>
      <c r="K555" s="71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</row>
    <row r="556">
      <c r="A556" s="66"/>
      <c r="B556" s="66"/>
      <c r="C556" s="66"/>
      <c r="D556" s="26"/>
      <c r="E556" s="67"/>
      <c r="F556" s="67"/>
      <c r="G556" s="69"/>
      <c r="H556" s="69"/>
      <c r="I556" s="69"/>
      <c r="J556" s="70"/>
      <c r="K556" s="71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</row>
    <row r="557">
      <c r="A557" s="66"/>
      <c r="B557" s="66"/>
      <c r="C557" s="66"/>
      <c r="D557" s="26"/>
      <c r="E557" s="67"/>
      <c r="F557" s="67"/>
      <c r="G557" s="69"/>
      <c r="H557" s="69"/>
      <c r="I557" s="69"/>
      <c r="J557" s="70"/>
      <c r="K557" s="71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</row>
    <row r="558">
      <c r="A558" s="66"/>
      <c r="B558" s="66"/>
      <c r="C558" s="66"/>
      <c r="D558" s="26"/>
      <c r="E558" s="67"/>
      <c r="F558" s="67"/>
      <c r="G558" s="69"/>
      <c r="H558" s="69"/>
      <c r="I558" s="69"/>
      <c r="J558" s="70"/>
      <c r="K558" s="71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</row>
    <row r="559">
      <c r="A559" s="66"/>
      <c r="B559" s="66"/>
      <c r="C559" s="66"/>
      <c r="D559" s="26"/>
      <c r="E559" s="67"/>
      <c r="F559" s="67"/>
      <c r="G559" s="69"/>
      <c r="H559" s="69"/>
      <c r="I559" s="69"/>
      <c r="J559" s="70"/>
      <c r="K559" s="71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</row>
    <row r="560">
      <c r="A560" s="66"/>
      <c r="B560" s="66"/>
      <c r="C560" s="66"/>
      <c r="D560" s="26"/>
      <c r="E560" s="67"/>
      <c r="F560" s="67"/>
      <c r="G560" s="69"/>
      <c r="H560" s="69"/>
      <c r="I560" s="69"/>
      <c r="J560" s="70"/>
      <c r="K560" s="71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</row>
    <row r="561">
      <c r="A561" s="66"/>
      <c r="B561" s="66"/>
      <c r="C561" s="66"/>
      <c r="D561" s="26"/>
      <c r="E561" s="67"/>
      <c r="F561" s="67"/>
      <c r="G561" s="69"/>
      <c r="H561" s="69"/>
      <c r="I561" s="69"/>
      <c r="J561" s="70"/>
      <c r="K561" s="71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</row>
    <row r="562">
      <c r="A562" s="66"/>
      <c r="B562" s="66"/>
      <c r="C562" s="66"/>
      <c r="D562" s="26"/>
      <c r="E562" s="67"/>
      <c r="F562" s="67"/>
      <c r="G562" s="69"/>
      <c r="H562" s="69"/>
      <c r="I562" s="69"/>
      <c r="J562" s="70"/>
      <c r="K562" s="71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</row>
    <row r="563">
      <c r="A563" s="66"/>
      <c r="B563" s="66"/>
      <c r="C563" s="66"/>
      <c r="D563" s="26"/>
      <c r="E563" s="67"/>
      <c r="F563" s="67"/>
      <c r="G563" s="69"/>
      <c r="H563" s="69"/>
      <c r="I563" s="69"/>
      <c r="J563" s="70"/>
      <c r="K563" s="71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</row>
    <row r="564">
      <c r="A564" s="66"/>
      <c r="B564" s="66"/>
      <c r="C564" s="66"/>
      <c r="D564" s="26"/>
      <c r="E564" s="67"/>
      <c r="F564" s="67"/>
      <c r="G564" s="69"/>
      <c r="H564" s="69"/>
      <c r="I564" s="69"/>
      <c r="J564" s="70"/>
      <c r="K564" s="71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</row>
    <row r="565">
      <c r="A565" s="66"/>
      <c r="B565" s="66"/>
      <c r="C565" s="66"/>
      <c r="D565" s="26"/>
      <c r="E565" s="67"/>
      <c r="F565" s="67"/>
      <c r="G565" s="69"/>
      <c r="H565" s="69"/>
      <c r="I565" s="69"/>
      <c r="J565" s="70"/>
      <c r="K565" s="71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</row>
    <row r="566">
      <c r="A566" s="66"/>
      <c r="B566" s="66"/>
      <c r="C566" s="66"/>
      <c r="D566" s="26"/>
      <c r="E566" s="67"/>
      <c r="F566" s="67"/>
      <c r="G566" s="69"/>
      <c r="H566" s="69"/>
      <c r="I566" s="69"/>
      <c r="J566" s="70"/>
      <c r="K566" s="71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</row>
    <row r="567">
      <c r="A567" s="66"/>
      <c r="B567" s="66"/>
      <c r="C567" s="66"/>
      <c r="D567" s="26"/>
      <c r="E567" s="67"/>
      <c r="F567" s="67"/>
      <c r="G567" s="69"/>
      <c r="H567" s="69"/>
      <c r="I567" s="69"/>
      <c r="J567" s="70"/>
      <c r="K567" s="71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</row>
    <row r="568">
      <c r="A568" s="66"/>
      <c r="B568" s="66"/>
      <c r="C568" s="66"/>
      <c r="D568" s="26"/>
      <c r="E568" s="67"/>
      <c r="F568" s="67"/>
      <c r="G568" s="69"/>
      <c r="H568" s="69"/>
      <c r="I568" s="69"/>
      <c r="J568" s="70"/>
      <c r="K568" s="71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</row>
    <row r="569">
      <c r="A569" s="66"/>
      <c r="B569" s="66"/>
      <c r="C569" s="66"/>
      <c r="D569" s="26"/>
      <c r="E569" s="67"/>
      <c r="F569" s="67"/>
      <c r="G569" s="69"/>
      <c r="H569" s="69"/>
      <c r="I569" s="69"/>
      <c r="J569" s="70"/>
      <c r="K569" s="71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</row>
    <row r="570">
      <c r="A570" s="66"/>
      <c r="B570" s="66"/>
      <c r="C570" s="66"/>
      <c r="D570" s="26"/>
      <c r="E570" s="67"/>
      <c r="F570" s="67"/>
      <c r="G570" s="69"/>
      <c r="H570" s="69"/>
      <c r="I570" s="69"/>
      <c r="J570" s="70"/>
      <c r="K570" s="71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</row>
    <row r="571">
      <c r="A571" s="66"/>
      <c r="B571" s="66"/>
      <c r="C571" s="66"/>
      <c r="D571" s="26"/>
      <c r="E571" s="67"/>
      <c r="F571" s="67"/>
      <c r="G571" s="69"/>
      <c r="H571" s="69"/>
      <c r="I571" s="69"/>
      <c r="J571" s="70"/>
      <c r="K571" s="71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</row>
    <row r="572">
      <c r="A572" s="66"/>
      <c r="B572" s="66"/>
      <c r="C572" s="66"/>
      <c r="D572" s="26"/>
      <c r="E572" s="67"/>
      <c r="F572" s="67"/>
      <c r="G572" s="69"/>
      <c r="H572" s="69"/>
      <c r="I572" s="69"/>
      <c r="J572" s="70"/>
      <c r="K572" s="71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</row>
    <row r="573">
      <c r="A573" s="66"/>
      <c r="B573" s="66"/>
      <c r="C573" s="66"/>
      <c r="D573" s="26"/>
      <c r="E573" s="67"/>
      <c r="F573" s="67"/>
      <c r="G573" s="69"/>
      <c r="H573" s="69"/>
      <c r="I573" s="69"/>
      <c r="J573" s="70"/>
      <c r="K573" s="71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</row>
    <row r="574">
      <c r="A574" s="66"/>
      <c r="B574" s="66"/>
      <c r="C574" s="66"/>
      <c r="D574" s="26"/>
      <c r="E574" s="67"/>
      <c r="F574" s="67"/>
      <c r="G574" s="69"/>
      <c r="H574" s="69"/>
      <c r="I574" s="69"/>
      <c r="J574" s="70"/>
      <c r="K574" s="71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</row>
    <row r="575">
      <c r="A575" s="66"/>
      <c r="B575" s="66"/>
      <c r="C575" s="66"/>
      <c r="D575" s="26"/>
      <c r="E575" s="67"/>
      <c r="F575" s="67"/>
      <c r="G575" s="69"/>
      <c r="H575" s="69"/>
      <c r="I575" s="69"/>
      <c r="J575" s="70"/>
      <c r="K575" s="71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</row>
    <row r="576">
      <c r="A576" s="66"/>
      <c r="B576" s="66"/>
      <c r="C576" s="66"/>
      <c r="D576" s="26"/>
      <c r="E576" s="67"/>
      <c r="F576" s="67"/>
      <c r="G576" s="69"/>
      <c r="H576" s="69"/>
      <c r="I576" s="69"/>
      <c r="J576" s="70"/>
      <c r="K576" s="71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</row>
    <row r="577">
      <c r="A577" s="66"/>
      <c r="B577" s="66"/>
      <c r="C577" s="66"/>
      <c r="D577" s="26"/>
      <c r="E577" s="67"/>
      <c r="F577" s="67"/>
      <c r="G577" s="69"/>
      <c r="H577" s="69"/>
      <c r="I577" s="69"/>
      <c r="J577" s="70"/>
      <c r="K577" s="71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</row>
  </sheetData>
  <mergeCells count="1">
    <mergeCell ref="B1:C1"/>
  </mergeCells>
  <conditionalFormatting sqref="K1:K577">
    <cfRule type="cellIs" dxfId="3" priority="1" operator="lessThanOrEqual">
      <formula>-100</formula>
    </cfRule>
  </conditionalFormatting>
  <conditionalFormatting sqref="K1:K577">
    <cfRule type="cellIs" dxfId="4" priority="2" operator="greaterThan">
      <formula>200</formula>
    </cfRule>
  </conditionalFormatting>
  <conditionalFormatting sqref="K1:K577">
    <cfRule type="cellIs" dxfId="5" priority="3" operator="lessThanOrEqual">
      <formula>200</formula>
    </cfRule>
  </conditionalFormatting>
  <conditionalFormatting sqref="N3:N577">
    <cfRule type="notContainsBlanks" dxfId="5" priority="4">
      <formula>LEN(TRIM(N3))&gt;0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1.25"/>
    <col customWidth="1" min="3" max="3" width="9.38"/>
    <col customWidth="1" min="4" max="4" width="13.13"/>
    <col customWidth="1" min="5" max="5" width="23.38"/>
    <col customWidth="1" min="6" max="6" width="6.63"/>
    <col customWidth="1" min="7" max="7" width="27.5"/>
    <col customWidth="1" min="8" max="8" width="9.75"/>
    <col customWidth="1" min="9" max="9" width="10.75"/>
    <col customWidth="1" min="10" max="10" width="13.13"/>
    <col customWidth="1" min="11" max="11" width="9.75"/>
    <col customWidth="1" min="12" max="12" width="6.63"/>
    <col customWidth="1" min="13" max="13" width="19.63"/>
    <col customWidth="1" min="14" max="14" width="11.13"/>
    <col customWidth="1" min="15" max="15" width="8.63"/>
    <col customWidth="1" min="16" max="16" width="17.63"/>
    <col customWidth="1" min="17" max="17" width="9.75"/>
    <col customWidth="1" min="18" max="18" width="6.63"/>
    <col customWidth="1" min="19" max="19" width="17.38"/>
    <col customWidth="1" min="20" max="20" width="9.75"/>
    <col customWidth="1" min="21" max="21" width="6.63"/>
    <col customWidth="1" min="22" max="22" width="12.88"/>
    <col customWidth="1" min="23" max="23" width="9.75"/>
    <col customWidth="1" min="24" max="24" width="6.13"/>
    <col customWidth="1" min="25" max="25" width="15.5"/>
    <col customWidth="1" min="26" max="26" width="9.75"/>
    <col customWidth="1" min="27" max="27" width="6.63"/>
    <col customWidth="1" min="28" max="28" width="13.75"/>
    <col customWidth="1" min="29" max="29" width="9.75"/>
    <col customWidth="1" min="30" max="30" width="6.63"/>
    <col customWidth="1" min="31" max="31" width="12.88"/>
    <col customWidth="1" min="32" max="32" width="9.75"/>
    <col customWidth="1" min="33" max="33" width="6.13"/>
    <col customWidth="1" min="34" max="34" width="15.38"/>
    <col customWidth="1" min="35" max="35" width="9.75"/>
    <col customWidth="1" min="36" max="36" width="8.0"/>
    <col customWidth="1" min="37" max="37" width="12.88"/>
    <col customWidth="1" min="38" max="38" width="10.63"/>
    <col customWidth="1" min="39" max="39" width="8.0"/>
    <col customWidth="1" min="40" max="40" width="12.88"/>
    <col customWidth="1" min="41" max="41" width="9.75"/>
    <col customWidth="1" min="42" max="42" width="8.25"/>
    <col customWidth="1" min="43" max="43" width="12.88"/>
    <col customWidth="1" min="44" max="44" width="9.75"/>
    <col customWidth="1" min="45" max="45" width="6.13"/>
    <col customWidth="1" min="46" max="46" width="12.88"/>
    <col customWidth="1" min="47" max="47" width="9.75"/>
    <col customWidth="1" min="48" max="48" width="6.13"/>
    <col customWidth="1" min="49" max="49" width="15.63"/>
    <col customWidth="1" min="50" max="50" width="9.75"/>
    <col customWidth="1" min="51" max="51" width="6.13"/>
    <col customWidth="1" min="52" max="52" width="12.88"/>
    <col customWidth="1" min="53" max="53" width="9.75"/>
    <col customWidth="1" min="54" max="54" width="6.13"/>
    <col customWidth="1" min="55" max="55" width="12.88"/>
    <col customWidth="1" min="56" max="56" width="9.75"/>
    <col customWidth="1" min="57" max="57" width="6.13"/>
    <col customWidth="1" min="58" max="58" width="12.88"/>
    <col customWidth="1" min="59" max="59" width="9.75"/>
    <col customWidth="1" min="60" max="60" width="6.13"/>
    <col customWidth="1" min="61" max="61" width="12.88"/>
    <col customWidth="1" min="62" max="62" width="9.75"/>
    <col customWidth="1" min="63" max="63" width="6.13"/>
    <col customWidth="1" min="64" max="64" width="12.88"/>
    <col customWidth="1" min="65" max="65" width="9.75"/>
    <col customWidth="1" min="66" max="66" width="6.13"/>
    <col customWidth="1" min="67" max="67" width="12.88"/>
    <col customWidth="1" min="68" max="68" width="9.75"/>
    <col customWidth="1" min="69" max="69" width="6.13"/>
    <col customWidth="1" min="70" max="70" width="12.88"/>
    <col customWidth="1" min="71" max="71" width="9.75"/>
    <col customWidth="1" min="72" max="72" width="6.13"/>
    <col customWidth="1" min="73" max="73" width="12.88"/>
    <col customWidth="1" min="74" max="74" width="9.75"/>
    <col customWidth="1" min="75" max="75" width="6.13"/>
    <col customWidth="1" min="76" max="76" width="12.88"/>
    <col customWidth="1" min="77" max="77" width="9.75"/>
    <col customWidth="1" min="78" max="78" width="6.13"/>
    <col customWidth="1" min="79" max="79" width="12.88"/>
    <col customWidth="1" min="80" max="80" width="9.75"/>
    <col customWidth="1" min="81" max="81" width="6.13"/>
    <col customWidth="1" min="82" max="82" width="12.88"/>
    <col customWidth="1" min="83" max="83" width="9.75"/>
    <col customWidth="1" min="84" max="84" width="6.13"/>
  </cols>
  <sheetData>
    <row r="1" ht="15.75" customHeight="1">
      <c r="A1" s="72" t="s">
        <v>178</v>
      </c>
      <c r="B1" s="7"/>
      <c r="C1" s="73">
        <f>IFERROR(__xludf.DUMMYFUNCTION("IMPORTRANGE(""https://docs.google.com/spreadsheets/d/1s4GIn77ozPYLkviTGY9JZwFiP83CdAjzj1034nd0cVM/edit?gid=0#gid=0"", ""cash_flow!d1"")"),163205.0)</f>
        <v>163205</v>
      </c>
      <c r="D1" s="74"/>
      <c r="E1" s="75" t="s">
        <v>179</v>
      </c>
      <c r="F1" s="7"/>
      <c r="G1" s="73">
        <f>SUM(C4 + F4 + I4 + L4 + O4 + R4 + U4 + X4 + AA4 + AD4 + AG4 + AJ4 + AM4 + AP4 + AS4 + AV4 + AY4 + BB4 + BE4 + BH4 + BK4 + BN4 + BQ4 + BT4 + BW4 + BZ4 + CC4 + CF4 + CN4)</f>
        <v>130253</v>
      </c>
      <c r="H1" s="74"/>
      <c r="I1" s="76" t="s">
        <v>180</v>
      </c>
      <c r="J1" s="7"/>
      <c r="K1" s="77">
        <f>sum(C1-G1-G2)</f>
        <v>9722</v>
      </c>
      <c r="L1" s="78"/>
      <c r="M1" s="79" t="s">
        <v>181</v>
      </c>
      <c r="O1" s="80">
        <f>IFERROR(__xludf.DUMMYFUNCTION("SUM(G1 / IMPORTRANGE(""https://docs.google.com/spreadsheets/d/1fcNkJZbv3x4pvwWWH2-A5i2kZk1X5CwnTUf0Drckuwo/edit?gid=1463191605"", ""meal!h3""))"),39.191514969159016)</f>
        <v>39.19151497</v>
      </c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</row>
    <row r="2" ht="15.75" customHeight="1">
      <c r="A2" s="78"/>
      <c r="B2" s="74"/>
      <c r="C2" s="78"/>
      <c r="D2" s="81"/>
      <c r="E2" s="82" t="s">
        <v>182</v>
      </c>
      <c r="F2" s="7"/>
      <c r="G2" s="83">
        <f>IFERROR(__xludf.DUMMYFUNCTION("IMPORTRANGE(""https://docs.google.com/spreadsheets/d/1s4GIn77ozPYLkviTGY9JZwFiP83CdAjzj1034nd0cVM/edit?gid=0#gid=0"",""cash_flow!i1"")"),23230.0)</f>
        <v>23230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</row>
    <row r="3" ht="15.75" customHeight="1">
      <c r="A3" s="84">
        <v>45689.0</v>
      </c>
      <c r="B3" s="6"/>
      <c r="C3" s="7"/>
      <c r="D3" s="84">
        <v>45690.0</v>
      </c>
      <c r="E3" s="6"/>
      <c r="F3" s="7"/>
      <c r="G3" s="84">
        <v>45691.0</v>
      </c>
      <c r="H3" s="6"/>
      <c r="I3" s="7"/>
      <c r="J3" s="84">
        <v>45692.0</v>
      </c>
      <c r="K3" s="6"/>
      <c r="L3" s="7"/>
      <c r="M3" s="84">
        <v>45693.0</v>
      </c>
      <c r="N3" s="6"/>
      <c r="O3" s="7"/>
      <c r="P3" s="84">
        <v>45694.0</v>
      </c>
      <c r="Q3" s="6"/>
      <c r="R3" s="7"/>
      <c r="S3" s="84">
        <v>45695.0</v>
      </c>
      <c r="T3" s="6"/>
      <c r="U3" s="7"/>
      <c r="V3" s="84">
        <v>45696.0</v>
      </c>
      <c r="W3" s="6"/>
      <c r="X3" s="7"/>
      <c r="Y3" s="84">
        <v>45697.0</v>
      </c>
      <c r="Z3" s="6"/>
      <c r="AA3" s="7"/>
      <c r="AB3" s="84">
        <v>45698.0</v>
      </c>
      <c r="AC3" s="6"/>
      <c r="AD3" s="7"/>
      <c r="AE3" s="84">
        <v>45699.0</v>
      </c>
      <c r="AF3" s="6"/>
      <c r="AG3" s="7"/>
      <c r="AH3" s="84">
        <v>45700.0</v>
      </c>
      <c r="AI3" s="6"/>
      <c r="AJ3" s="7"/>
      <c r="AK3" s="84">
        <v>45701.0</v>
      </c>
      <c r="AL3" s="6"/>
      <c r="AM3" s="7"/>
      <c r="AN3" s="84">
        <v>45702.0</v>
      </c>
      <c r="AO3" s="6"/>
      <c r="AP3" s="7"/>
      <c r="AQ3" s="84">
        <v>45703.0</v>
      </c>
      <c r="AR3" s="6"/>
      <c r="AS3" s="7"/>
      <c r="AT3" s="84">
        <v>45704.0</v>
      </c>
      <c r="AU3" s="6"/>
      <c r="AV3" s="7"/>
      <c r="AW3" s="84">
        <v>45705.0</v>
      </c>
      <c r="AX3" s="6"/>
      <c r="AY3" s="7"/>
      <c r="AZ3" s="84">
        <v>45706.0</v>
      </c>
      <c r="BA3" s="6"/>
      <c r="BB3" s="7"/>
      <c r="BC3" s="84">
        <v>45707.0</v>
      </c>
      <c r="BD3" s="6"/>
      <c r="BE3" s="7"/>
      <c r="BF3" s="84">
        <v>45708.0</v>
      </c>
      <c r="BG3" s="6"/>
      <c r="BH3" s="7"/>
      <c r="BI3" s="84">
        <v>45709.0</v>
      </c>
      <c r="BJ3" s="6"/>
      <c r="BK3" s="7"/>
      <c r="BL3" s="84">
        <v>45710.0</v>
      </c>
      <c r="BM3" s="6"/>
      <c r="BN3" s="7"/>
      <c r="BO3" s="84">
        <v>45711.0</v>
      </c>
      <c r="BP3" s="6"/>
      <c r="BQ3" s="7"/>
      <c r="BR3" s="84">
        <v>45712.0</v>
      </c>
      <c r="BS3" s="6"/>
      <c r="BT3" s="7"/>
      <c r="BU3" s="84">
        <v>45713.0</v>
      </c>
      <c r="BV3" s="6"/>
      <c r="BW3" s="7"/>
      <c r="BX3" s="84">
        <v>45714.0</v>
      </c>
      <c r="BY3" s="6"/>
      <c r="BZ3" s="7"/>
      <c r="CA3" s="84">
        <v>45715.0</v>
      </c>
      <c r="CB3" s="6"/>
      <c r="CC3" s="7"/>
      <c r="CD3" s="84">
        <v>45716.0</v>
      </c>
      <c r="CE3" s="6"/>
      <c r="CF3" s="7"/>
    </row>
    <row r="4" ht="15.75" customHeight="1">
      <c r="A4" s="85" t="s">
        <v>183</v>
      </c>
      <c r="B4" s="7"/>
      <c r="C4" s="78">
        <f>SUM(C6:C69)</f>
        <v>16550</v>
      </c>
      <c r="D4" s="85" t="s">
        <v>183</v>
      </c>
      <c r="E4" s="7"/>
      <c r="F4" s="78">
        <f>SUM(F6:F69)</f>
        <v>3360</v>
      </c>
      <c r="G4" s="85" t="s">
        <v>183</v>
      </c>
      <c r="H4" s="7"/>
      <c r="I4" s="78">
        <f>SUM(I6:I69)</f>
        <v>1370</v>
      </c>
      <c r="J4" s="85" t="s">
        <v>183</v>
      </c>
      <c r="K4" s="7"/>
      <c r="L4" s="78">
        <f>SUM(L6:L69)</f>
        <v>5770</v>
      </c>
      <c r="M4" s="85" t="s">
        <v>183</v>
      </c>
      <c r="N4" s="7"/>
      <c r="O4" s="78">
        <f>SUM(O6:O69)</f>
        <v>10230</v>
      </c>
      <c r="P4" s="85" t="s">
        <v>183</v>
      </c>
      <c r="Q4" s="7"/>
      <c r="R4" s="78">
        <f>SUM(R6:R69)</f>
        <v>9603</v>
      </c>
      <c r="S4" s="85" t="s">
        <v>183</v>
      </c>
      <c r="T4" s="7"/>
      <c r="U4" s="78">
        <f>SUM(U6:U69)</f>
        <v>1360</v>
      </c>
      <c r="V4" s="85" t="s">
        <v>183</v>
      </c>
      <c r="W4" s="7"/>
      <c r="X4" s="78">
        <f>SUM(X6:X69)</f>
        <v>0</v>
      </c>
      <c r="Y4" s="85" t="s">
        <v>183</v>
      </c>
      <c r="Z4" s="7"/>
      <c r="AA4" s="78">
        <f>SUM(AA6:AA69)</f>
        <v>4540</v>
      </c>
      <c r="AB4" s="85" t="s">
        <v>183</v>
      </c>
      <c r="AC4" s="7"/>
      <c r="AD4" s="78">
        <f>SUM(AD6:AD69)</f>
        <v>4375</v>
      </c>
      <c r="AE4" s="85" t="s">
        <v>183</v>
      </c>
      <c r="AF4" s="7"/>
      <c r="AG4" s="78">
        <f>SUM(AG6:AG69)</f>
        <v>225</v>
      </c>
      <c r="AH4" s="85" t="s">
        <v>183</v>
      </c>
      <c r="AI4" s="7"/>
      <c r="AJ4" s="78">
        <f>SUM(AJ6:AJ69)</f>
        <v>14610</v>
      </c>
      <c r="AK4" s="85" t="s">
        <v>183</v>
      </c>
      <c r="AL4" s="7"/>
      <c r="AM4" s="78">
        <f>SUM(AM6:AM69)</f>
        <v>15500</v>
      </c>
      <c r="AN4" s="85" t="s">
        <v>183</v>
      </c>
      <c r="AO4" s="7"/>
      <c r="AP4" s="78">
        <f>SUM(AP6:AP69)</f>
        <v>11925</v>
      </c>
      <c r="AQ4" s="85" t="s">
        <v>183</v>
      </c>
      <c r="AR4" s="7"/>
      <c r="AS4" s="78">
        <f>SUM(AS6:AS69)</f>
        <v>0</v>
      </c>
      <c r="AT4" s="85" t="s">
        <v>183</v>
      </c>
      <c r="AU4" s="7"/>
      <c r="AV4" s="78">
        <f>SUM(AV6:AV69)</f>
        <v>1520</v>
      </c>
      <c r="AW4" s="85" t="s">
        <v>183</v>
      </c>
      <c r="AX4" s="7"/>
      <c r="AY4" s="78">
        <f>SUM(AY6:AY69)</f>
        <v>1560</v>
      </c>
      <c r="AZ4" s="85" t="s">
        <v>183</v>
      </c>
      <c r="BA4" s="7"/>
      <c r="BB4" s="78">
        <f>SUM(BB6:BB69)</f>
        <v>0</v>
      </c>
      <c r="BC4" s="85" t="s">
        <v>183</v>
      </c>
      <c r="BD4" s="7"/>
      <c r="BE4" s="78">
        <f>SUM(BE6:BE69)</f>
        <v>6875</v>
      </c>
      <c r="BF4" s="85" t="s">
        <v>183</v>
      </c>
      <c r="BG4" s="7"/>
      <c r="BH4" s="78">
        <f>SUM(BH6:BH69)</f>
        <v>2510</v>
      </c>
      <c r="BI4" s="85" t="s">
        <v>183</v>
      </c>
      <c r="BJ4" s="7"/>
      <c r="BK4" s="78">
        <f>SUM(BK6:BK69)</f>
        <v>4515</v>
      </c>
      <c r="BL4" s="85" t="s">
        <v>183</v>
      </c>
      <c r="BM4" s="7"/>
      <c r="BN4" s="78">
        <f>SUM(BN6:BN69)</f>
        <v>50</v>
      </c>
      <c r="BO4" s="85" t="s">
        <v>183</v>
      </c>
      <c r="BP4" s="7"/>
      <c r="BQ4" s="78">
        <f>SUM(BQ6:BQ69)</f>
        <v>3160</v>
      </c>
      <c r="BR4" s="85" t="s">
        <v>183</v>
      </c>
      <c r="BS4" s="7"/>
      <c r="BT4" s="78">
        <f>SUM(BT6:BT69)</f>
        <v>1315</v>
      </c>
      <c r="BU4" s="85" t="s">
        <v>183</v>
      </c>
      <c r="BV4" s="7"/>
      <c r="BW4" s="78">
        <f>SUM(BW6:BW69)</f>
        <v>825</v>
      </c>
      <c r="BX4" s="85" t="s">
        <v>183</v>
      </c>
      <c r="BY4" s="7"/>
      <c r="BZ4" s="78">
        <f>SUM(BZ6:BZ69)</f>
        <v>4535</v>
      </c>
      <c r="CA4" s="85" t="s">
        <v>183</v>
      </c>
      <c r="CB4" s="7"/>
      <c r="CC4" s="78">
        <f>SUM(CC6:CC69)</f>
        <v>4030</v>
      </c>
      <c r="CD4" s="85" t="s">
        <v>183</v>
      </c>
      <c r="CE4" s="7"/>
      <c r="CF4" s="78">
        <f>SUM(CF6:CF69)</f>
        <v>-60</v>
      </c>
    </row>
    <row r="5" ht="15.75" customHeight="1">
      <c r="A5" s="86" t="s">
        <v>184</v>
      </c>
      <c r="B5" s="87" t="s">
        <v>185</v>
      </c>
      <c r="C5" s="88" t="s">
        <v>186</v>
      </c>
      <c r="D5" s="86" t="s">
        <v>184</v>
      </c>
      <c r="E5" s="87" t="s">
        <v>185</v>
      </c>
      <c r="F5" s="88" t="s">
        <v>186</v>
      </c>
      <c r="G5" s="86" t="s">
        <v>184</v>
      </c>
      <c r="H5" s="87" t="s">
        <v>185</v>
      </c>
      <c r="I5" s="88" t="s">
        <v>186</v>
      </c>
      <c r="J5" s="86" t="s">
        <v>184</v>
      </c>
      <c r="K5" s="87" t="s">
        <v>185</v>
      </c>
      <c r="L5" s="88" t="s">
        <v>186</v>
      </c>
      <c r="M5" s="86" t="s">
        <v>184</v>
      </c>
      <c r="N5" s="87" t="s">
        <v>185</v>
      </c>
      <c r="O5" s="88" t="s">
        <v>186</v>
      </c>
      <c r="P5" s="86" t="s">
        <v>184</v>
      </c>
      <c r="Q5" s="87" t="s">
        <v>185</v>
      </c>
      <c r="R5" s="88" t="s">
        <v>186</v>
      </c>
      <c r="S5" s="86" t="s">
        <v>184</v>
      </c>
      <c r="T5" s="87" t="s">
        <v>185</v>
      </c>
      <c r="U5" s="88" t="s">
        <v>186</v>
      </c>
      <c r="V5" s="86" t="s">
        <v>184</v>
      </c>
      <c r="W5" s="87" t="s">
        <v>185</v>
      </c>
      <c r="X5" s="88" t="s">
        <v>186</v>
      </c>
      <c r="Y5" s="86" t="s">
        <v>184</v>
      </c>
      <c r="Z5" s="87" t="s">
        <v>185</v>
      </c>
      <c r="AA5" s="88" t="s">
        <v>186</v>
      </c>
      <c r="AB5" s="86" t="s">
        <v>184</v>
      </c>
      <c r="AC5" s="87" t="s">
        <v>185</v>
      </c>
      <c r="AD5" s="88" t="s">
        <v>186</v>
      </c>
      <c r="AE5" s="86" t="s">
        <v>184</v>
      </c>
      <c r="AF5" s="87" t="s">
        <v>185</v>
      </c>
      <c r="AG5" s="88" t="s">
        <v>186</v>
      </c>
      <c r="AH5" s="86" t="s">
        <v>184</v>
      </c>
      <c r="AI5" s="87" t="s">
        <v>185</v>
      </c>
      <c r="AJ5" s="88" t="s">
        <v>186</v>
      </c>
      <c r="AK5" s="86" t="s">
        <v>184</v>
      </c>
      <c r="AL5" s="87" t="s">
        <v>185</v>
      </c>
      <c r="AM5" s="88" t="s">
        <v>186</v>
      </c>
      <c r="AN5" s="86" t="s">
        <v>184</v>
      </c>
      <c r="AO5" s="87" t="s">
        <v>185</v>
      </c>
      <c r="AP5" s="88" t="s">
        <v>186</v>
      </c>
      <c r="AQ5" s="86" t="s">
        <v>184</v>
      </c>
      <c r="AR5" s="87" t="s">
        <v>185</v>
      </c>
      <c r="AS5" s="88" t="s">
        <v>186</v>
      </c>
      <c r="AT5" s="86" t="s">
        <v>184</v>
      </c>
      <c r="AU5" s="87" t="s">
        <v>185</v>
      </c>
      <c r="AV5" s="88" t="s">
        <v>186</v>
      </c>
      <c r="AW5" s="86" t="s">
        <v>184</v>
      </c>
      <c r="AX5" s="87" t="s">
        <v>185</v>
      </c>
      <c r="AY5" s="88" t="s">
        <v>186</v>
      </c>
      <c r="AZ5" s="86" t="s">
        <v>184</v>
      </c>
      <c r="BA5" s="87" t="s">
        <v>185</v>
      </c>
      <c r="BB5" s="88" t="s">
        <v>186</v>
      </c>
      <c r="BC5" s="86" t="s">
        <v>184</v>
      </c>
      <c r="BD5" s="87" t="s">
        <v>185</v>
      </c>
      <c r="BE5" s="88" t="s">
        <v>186</v>
      </c>
      <c r="BF5" s="86" t="s">
        <v>184</v>
      </c>
      <c r="BG5" s="87" t="s">
        <v>185</v>
      </c>
      <c r="BH5" s="88" t="s">
        <v>186</v>
      </c>
      <c r="BI5" s="86" t="s">
        <v>184</v>
      </c>
      <c r="BJ5" s="87" t="s">
        <v>185</v>
      </c>
      <c r="BK5" s="88" t="s">
        <v>186</v>
      </c>
      <c r="BL5" s="86" t="s">
        <v>184</v>
      </c>
      <c r="BM5" s="87" t="s">
        <v>185</v>
      </c>
      <c r="BN5" s="88" t="s">
        <v>186</v>
      </c>
      <c r="BO5" s="86" t="s">
        <v>184</v>
      </c>
      <c r="BP5" s="87" t="s">
        <v>185</v>
      </c>
      <c r="BQ5" s="88" t="s">
        <v>186</v>
      </c>
      <c r="BR5" s="86" t="s">
        <v>184</v>
      </c>
      <c r="BS5" s="87" t="s">
        <v>185</v>
      </c>
      <c r="BT5" s="88" t="s">
        <v>186</v>
      </c>
      <c r="BU5" s="86" t="s">
        <v>184</v>
      </c>
      <c r="BV5" s="87" t="s">
        <v>185</v>
      </c>
      <c r="BW5" s="88" t="s">
        <v>186</v>
      </c>
      <c r="BX5" s="86" t="s">
        <v>184</v>
      </c>
      <c r="BY5" s="87" t="s">
        <v>185</v>
      </c>
      <c r="BZ5" s="88" t="s">
        <v>186</v>
      </c>
      <c r="CA5" s="86" t="s">
        <v>184</v>
      </c>
      <c r="CB5" s="87" t="s">
        <v>185</v>
      </c>
      <c r="CC5" s="88" t="s">
        <v>186</v>
      </c>
      <c r="CD5" s="86" t="s">
        <v>184</v>
      </c>
      <c r="CE5" s="87" t="s">
        <v>185</v>
      </c>
      <c r="CF5" s="88" t="s">
        <v>186</v>
      </c>
    </row>
    <row r="6" ht="15.75" customHeight="1">
      <c r="A6" s="89" t="s">
        <v>187</v>
      </c>
      <c r="B6" s="7"/>
      <c r="C6" s="90">
        <v>70.0</v>
      </c>
      <c r="D6" s="90" t="s">
        <v>188</v>
      </c>
      <c r="E6" s="78"/>
      <c r="F6" s="90">
        <v>200.0</v>
      </c>
      <c r="G6" s="91" t="s">
        <v>189</v>
      </c>
      <c r="H6" s="7"/>
      <c r="I6" s="90">
        <v>50.0</v>
      </c>
      <c r="J6" s="89" t="s">
        <v>190</v>
      </c>
      <c r="K6" s="7"/>
      <c r="L6" s="90">
        <v>190.0</v>
      </c>
      <c r="M6" s="90" t="s">
        <v>191</v>
      </c>
      <c r="N6" s="90" t="s">
        <v>192</v>
      </c>
      <c r="O6" s="90">
        <v>350.0</v>
      </c>
      <c r="P6" s="90" t="s">
        <v>193</v>
      </c>
      <c r="Q6" s="90" t="s">
        <v>194</v>
      </c>
      <c r="R6" s="90">
        <v>1300.0</v>
      </c>
      <c r="S6" s="90" t="s">
        <v>195</v>
      </c>
      <c r="T6" s="90" t="s">
        <v>196</v>
      </c>
      <c r="U6" s="90">
        <v>150.0</v>
      </c>
      <c r="V6" s="92" t="s">
        <v>197</v>
      </c>
      <c r="W6" s="93"/>
      <c r="X6" s="94"/>
      <c r="Y6" s="90" t="s">
        <v>198</v>
      </c>
      <c r="Z6" s="90" t="s">
        <v>199</v>
      </c>
      <c r="AA6" s="90">
        <v>1350.0</v>
      </c>
      <c r="AB6" s="95" t="s">
        <v>200</v>
      </c>
      <c r="AC6" s="95" t="s">
        <v>201</v>
      </c>
      <c r="AD6" s="95">
        <v>120.0</v>
      </c>
      <c r="AE6" s="95" t="s">
        <v>202</v>
      </c>
      <c r="AF6" s="95" t="s">
        <v>203</v>
      </c>
      <c r="AG6" s="95">
        <v>225.0</v>
      </c>
      <c r="AH6" s="95" t="s">
        <v>204</v>
      </c>
      <c r="AI6" s="74"/>
      <c r="AJ6" s="95">
        <v>50.0</v>
      </c>
      <c r="AK6" s="95" t="s">
        <v>205</v>
      </c>
      <c r="AL6" s="95" t="s">
        <v>206</v>
      </c>
      <c r="AM6" s="95">
        <v>1200.0</v>
      </c>
      <c r="AN6" s="95" t="s">
        <v>207</v>
      </c>
      <c r="AO6" s="95" t="s">
        <v>208</v>
      </c>
      <c r="AP6" s="95">
        <v>1320.0</v>
      </c>
      <c r="AQ6" s="96" t="s">
        <v>209</v>
      </c>
      <c r="AR6" s="93"/>
      <c r="AS6" s="94"/>
      <c r="AT6" s="95" t="s">
        <v>210</v>
      </c>
      <c r="AU6" s="74"/>
      <c r="AV6" s="95">
        <v>40.0</v>
      </c>
      <c r="AW6" s="95" t="s">
        <v>211</v>
      </c>
      <c r="AX6" s="74"/>
      <c r="AY6" s="95">
        <v>30.0</v>
      </c>
      <c r="AZ6" s="96" t="s">
        <v>209</v>
      </c>
      <c r="BA6" s="93"/>
      <c r="BB6" s="94"/>
      <c r="BC6" s="95" t="s">
        <v>198</v>
      </c>
      <c r="BD6" s="95" t="s">
        <v>212</v>
      </c>
      <c r="BE6" s="95">
        <v>1315.0</v>
      </c>
      <c r="BF6" s="95" t="s">
        <v>213</v>
      </c>
      <c r="BG6" s="95" t="s">
        <v>214</v>
      </c>
      <c r="BH6" s="95">
        <v>60.0</v>
      </c>
      <c r="BI6" s="95" t="s">
        <v>215</v>
      </c>
      <c r="BJ6" s="95" t="s">
        <v>216</v>
      </c>
      <c r="BK6" s="95">
        <v>3000.0</v>
      </c>
      <c r="BL6" s="95" t="s">
        <v>217</v>
      </c>
      <c r="BM6" s="74"/>
      <c r="BN6" s="95">
        <v>50.0</v>
      </c>
      <c r="BO6" s="95" t="s">
        <v>218</v>
      </c>
      <c r="BP6" s="95" t="s">
        <v>219</v>
      </c>
      <c r="BQ6" s="95">
        <v>100.0</v>
      </c>
      <c r="BR6" s="95" t="s">
        <v>220</v>
      </c>
      <c r="BS6" s="74"/>
      <c r="BT6" s="95">
        <v>150.0</v>
      </c>
      <c r="BU6" s="95" t="s">
        <v>220</v>
      </c>
      <c r="BV6" s="74"/>
      <c r="BW6" s="95">
        <v>100.0</v>
      </c>
      <c r="BX6" s="95" t="s">
        <v>221</v>
      </c>
      <c r="BY6" s="74"/>
      <c r="BZ6" s="95">
        <v>40.0</v>
      </c>
      <c r="CA6" s="95" t="s">
        <v>222</v>
      </c>
      <c r="CB6" s="74"/>
      <c r="CC6" s="95">
        <v>120.0</v>
      </c>
      <c r="CD6" s="95" t="s">
        <v>205</v>
      </c>
      <c r="CE6" s="74"/>
      <c r="CF6" s="95">
        <v>900.0</v>
      </c>
    </row>
    <row r="7" ht="15.75" customHeight="1">
      <c r="A7" s="97" t="s">
        <v>223</v>
      </c>
      <c r="B7" s="7"/>
      <c r="C7" s="98">
        <v>30.0</v>
      </c>
      <c r="D7" s="90" t="s">
        <v>224</v>
      </c>
      <c r="E7" s="78"/>
      <c r="F7" s="90">
        <v>150.0</v>
      </c>
      <c r="G7" s="90" t="s">
        <v>225</v>
      </c>
      <c r="H7" s="90" t="s">
        <v>226</v>
      </c>
      <c r="I7" s="90">
        <v>40.0</v>
      </c>
      <c r="J7" s="90" t="s">
        <v>227</v>
      </c>
      <c r="K7" s="90" t="s">
        <v>228</v>
      </c>
      <c r="L7" s="90">
        <v>2140.0</v>
      </c>
      <c r="M7" s="95" t="s">
        <v>229</v>
      </c>
      <c r="N7" s="95" t="s">
        <v>230</v>
      </c>
      <c r="O7" s="95">
        <v>1030.0</v>
      </c>
      <c r="P7" s="90" t="s">
        <v>231</v>
      </c>
      <c r="Q7" s="90" t="s">
        <v>196</v>
      </c>
      <c r="R7" s="90">
        <v>875.0</v>
      </c>
      <c r="S7" s="90" t="s">
        <v>232</v>
      </c>
      <c r="T7" s="78"/>
      <c r="U7" s="90">
        <v>200.0</v>
      </c>
      <c r="V7" s="99"/>
      <c r="X7" s="100"/>
      <c r="Y7" s="90" t="s">
        <v>233</v>
      </c>
      <c r="Z7" s="90" t="s">
        <v>234</v>
      </c>
      <c r="AA7" s="90">
        <v>140.0</v>
      </c>
      <c r="AB7" s="95" t="s">
        <v>235</v>
      </c>
      <c r="AC7" s="95" t="s">
        <v>236</v>
      </c>
      <c r="AD7" s="95">
        <v>85.0</v>
      </c>
      <c r="AE7" s="74"/>
      <c r="AF7" s="74"/>
      <c r="AG7" s="95"/>
      <c r="AH7" s="95" t="s">
        <v>237</v>
      </c>
      <c r="AI7" s="95">
        <v>200.0</v>
      </c>
      <c r="AJ7" s="95">
        <v>2135.0</v>
      </c>
      <c r="AK7" s="95" t="s">
        <v>238</v>
      </c>
      <c r="AL7" s="95" t="s">
        <v>239</v>
      </c>
      <c r="AM7" s="95">
        <v>14200.0</v>
      </c>
      <c r="AN7" s="95" t="s">
        <v>240</v>
      </c>
      <c r="AO7" s="95" t="s">
        <v>241</v>
      </c>
      <c r="AP7" s="95">
        <v>1265.0</v>
      </c>
      <c r="AQ7" s="99"/>
      <c r="AS7" s="100"/>
      <c r="AT7" s="95" t="s">
        <v>242</v>
      </c>
      <c r="AU7" s="95" t="s">
        <v>243</v>
      </c>
      <c r="AV7" s="95">
        <v>20.0</v>
      </c>
      <c r="AW7" s="101" t="s">
        <v>244</v>
      </c>
      <c r="AX7" s="102"/>
      <c r="AY7" s="101">
        <v>1000.0</v>
      </c>
      <c r="AZ7" s="99"/>
      <c r="BB7" s="100"/>
      <c r="BC7" s="95" t="s">
        <v>245</v>
      </c>
      <c r="BD7" s="95" t="s">
        <v>246</v>
      </c>
      <c r="BE7" s="95">
        <v>200.0</v>
      </c>
      <c r="BF7" s="95" t="s">
        <v>247</v>
      </c>
      <c r="BG7" s="95" t="s">
        <v>248</v>
      </c>
      <c r="BH7" s="95">
        <v>340.0</v>
      </c>
      <c r="BI7" s="95" t="s">
        <v>198</v>
      </c>
      <c r="BJ7" s="95" t="s">
        <v>249</v>
      </c>
      <c r="BK7" s="95">
        <v>1315.0</v>
      </c>
      <c r="BL7" s="74"/>
      <c r="BM7" s="74"/>
      <c r="BN7" s="74"/>
      <c r="BO7" s="95" t="s">
        <v>250</v>
      </c>
      <c r="BP7" s="74"/>
      <c r="BQ7" s="95">
        <v>100.0</v>
      </c>
      <c r="BR7" s="95" t="s">
        <v>202</v>
      </c>
      <c r="BS7" s="74"/>
      <c r="BT7" s="95">
        <v>90.0</v>
      </c>
      <c r="BU7" s="95" t="s">
        <v>251</v>
      </c>
      <c r="BV7" s="95" t="s">
        <v>196</v>
      </c>
      <c r="BW7" s="95">
        <v>530.0</v>
      </c>
      <c r="BX7" s="95" t="s">
        <v>252</v>
      </c>
      <c r="BY7" s="74"/>
      <c r="BZ7" s="95">
        <v>1840.0</v>
      </c>
      <c r="CA7" s="95" t="s">
        <v>253</v>
      </c>
      <c r="CB7" s="74"/>
      <c r="CC7" s="95">
        <v>40.0</v>
      </c>
      <c r="CD7" s="95" t="s">
        <v>254</v>
      </c>
      <c r="CE7" s="74"/>
      <c r="CF7" s="95">
        <v>60.0</v>
      </c>
    </row>
    <row r="8" ht="15.75" customHeight="1">
      <c r="A8" s="98" t="s">
        <v>255</v>
      </c>
      <c r="B8" s="95" t="s">
        <v>256</v>
      </c>
      <c r="C8" s="95">
        <v>440.0</v>
      </c>
      <c r="D8" s="90" t="s">
        <v>257</v>
      </c>
      <c r="E8" s="78"/>
      <c r="F8" s="90">
        <v>30.0</v>
      </c>
      <c r="G8" s="103" t="s">
        <v>258</v>
      </c>
      <c r="H8" s="7"/>
      <c r="I8" s="90">
        <v>300.0</v>
      </c>
      <c r="J8" s="103" t="s">
        <v>259</v>
      </c>
      <c r="K8" s="7"/>
      <c r="L8" s="90">
        <v>150.0</v>
      </c>
      <c r="M8" s="95" t="s">
        <v>260</v>
      </c>
      <c r="N8" s="95" t="s">
        <v>261</v>
      </c>
      <c r="O8" s="95">
        <v>120.0</v>
      </c>
      <c r="P8" s="90" t="s">
        <v>262</v>
      </c>
      <c r="Q8" s="90" t="s">
        <v>263</v>
      </c>
      <c r="R8" s="90">
        <v>25.0</v>
      </c>
      <c r="S8" s="90" t="s">
        <v>264</v>
      </c>
      <c r="T8" s="90" t="s">
        <v>226</v>
      </c>
      <c r="U8" s="90">
        <v>150.0</v>
      </c>
      <c r="V8" s="99"/>
      <c r="X8" s="100"/>
      <c r="Y8" s="104" t="s">
        <v>265</v>
      </c>
      <c r="Z8" s="7"/>
      <c r="AA8" s="90">
        <v>50.0</v>
      </c>
      <c r="AB8" s="95" t="s">
        <v>266</v>
      </c>
      <c r="AC8" s="95" t="s">
        <v>267</v>
      </c>
      <c r="AD8" s="95">
        <v>150.0</v>
      </c>
      <c r="AE8" s="74"/>
      <c r="AF8" s="74"/>
      <c r="AG8" s="95"/>
      <c r="AH8" s="95" t="s">
        <v>217</v>
      </c>
      <c r="AI8" s="95">
        <v>2.0</v>
      </c>
      <c r="AJ8" s="95">
        <v>100.0</v>
      </c>
      <c r="AK8" s="95" t="s">
        <v>254</v>
      </c>
      <c r="AL8" s="74"/>
      <c r="AM8" s="95">
        <v>100.0</v>
      </c>
      <c r="AN8" s="95" t="s">
        <v>268</v>
      </c>
      <c r="AO8" s="95" t="s">
        <v>269</v>
      </c>
      <c r="AP8" s="95">
        <v>3890.0</v>
      </c>
      <c r="AQ8" s="99"/>
      <c r="AS8" s="100"/>
      <c r="AT8" s="95" t="s">
        <v>270</v>
      </c>
      <c r="AU8" s="95">
        <v>1.0</v>
      </c>
      <c r="AV8" s="95">
        <v>1460.0</v>
      </c>
      <c r="AW8" s="95" t="s">
        <v>218</v>
      </c>
      <c r="AX8" s="74"/>
      <c r="AY8" s="95">
        <v>100.0</v>
      </c>
      <c r="AZ8" s="99"/>
      <c r="BB8" s="100"/>
      <c r="BC8" s="95" t="s">
        <v>242</v>
      </c>
      <c r="BD8" s="95" t="s">
        <v>246</v>
      </c>
      <c r="BE8" s="95">
        <v>240.0</v>
      </c>
      <c r="BF8" s="95" t="s">
        <v>271</v>
      </c>
      <c r="BG8" s="95" t="s">
        <v>226</v>
      </c>
      <c r="BH8" s="95">
        <v>70.0</v>
      </c>
      <c r="BI8" s="95" t="s">
        <v>272</v>
      </c>
      <c r="BJ8" s="74"/>
      <c r="BK8" s="95">
        <v>200.0</v>
      </c>
      <c r="BL8" s="74"/>
      <c r="BM8" s="74"/>
      <c r="BN8" s="74"/>
      <c r="BO8" s="95" t="s">
        <v>273</v>
      </c>
      <c r="BP8" s="95" t="s">
        <v>274</v>
      </c>
      <c r="BQ8" s="95">
        <v>2840.0</v>
      </c>
      <c r="BR8" s="95" t="s">
        <v>242</v>
      </c>
      <c r="BS8" s="74"/>
      <c r="BT8" s="95">
        <v>80.0</v>
      </c>
      <c r="BU8" s="95" t="s">
        <v>275</v>
      </c>
      <c r="BV8" s="95" t="s">
        <v>226</v>
      </c>
      <c r="BW8" s="95">
        <v>195.0</v>
      </c>
      <c r="BX8" s="95" t="s">
        <v>202</v>
      </c>
      <c r="BY8" s="74"/>
      <c r="BZ8" s="95">
        <v>2135.0</v>
      </c>
      <c r="CA8" s="95" t="s">
        <v>270</v>
      </c>
      <c r="CB8" s="74"/>
      <c r="CC8" s="95">
        <v>1430.0</v>
      </c>
      <c r="CD8" s="95" t="s">
        <v>276</v>
      </c>
      <c r="CE8" s="74"/>
      <c r="CF8" s="95">
        <v>20.0</v>
      </c>
    </row>
    <row r="9" ht="15.75" customHeight="1">
      <c r="A9" s="98" t="s">
        <v>277</v>
      </c>
      <c r="B9" s="95" t="s">
        <v>196</v>
      </c>
      <c r="C9" s="95">
        <v>200.0</v>
      </c>
      <c r="D9" s="90" t="s">
        <v>278</v>
      </c>
      <c r="E9" s="90" t="s">
        <v>279</v>
      </c>
      <c r="F9" s="90">
        <v>130.0</v>
      </c>
      <c r="G9" s="103" t="s">
        <v>280</v>
      </c>
      <c r="H9" s="7"/>
      <c r="I9" s="90">
        <v>50.0</v>
      </c>
      <c r="J9" s="103" t="s">
        <v>281</v>
      </c>
      <c r="K9" s="7"/>
      <c r="L9" s="90">
        <v>10.0</v>
      </c>
      <c r="M9" s="95" t="s">
        <v>282</v>
      </c>
      <c r="N9" s="95" t="s">
        <v>283</v>
      </c>
      <c r="O9" s="95">
        <v>240.0</v>
      </c>
      <c r="P9" s="90" t="s">
        <v>284</v>
      </c>
      <c r="Q9" s="90" t="s">
        <v>285</v>
      </c>
      <c r="R9" s="90">
        <v>390.0</v>
      </c>
      <c r="S9" s="90" t="s">
        <v>286</v>
      </c>
      <c r="T9" s="90" t="s">
        <v>287</v>
      </c>
      <c r="U9" s="90">
        <v>130.0</v>
      </c>
      <c r="V9" s="99"/>
      <c r="X9" s="100"/>
      <c r="Y9" s="90" t="s">
        <v>288</v>
      </c>
      <c r="Z9" s="90">
        <v>2.0</v>
      </c>
      <c r="AA9" s="90">
        <v>2920.0</v>
      </c>
      <c r="AB9" s="95" t="s">
        <v>289</v>
      </c>
      <c r="AC9" s="95" t="s">
        <v>290</v>
      </c>
      <c r="AD9" s="95">
        <v>60.0</v>
      </c>
      <c r="AE9" s="74"/>
      <c r="AF9" s="74"/>
      <c r="AG9" s="74"/>
      <c r="AH9" s="95"/>
      <c r="AI9" s="74"/>
      <c r="AJ9" s="95"/>
      <c r="AK9" s="95"/>
      <c r="AL9" s="95"/>
      <c r="AM9" s="95"/>
      <c r="AN9" s="95" t="s">
        <v>291</v>
      </c>
      <c r="AO9" s="95" t="s">
        <v>292</v>
      </c>
      <c r="AP9" s="95">
        <v>2692.0</v>
      </c>
      <c r="AQ9" s="99"/>
      <c r="AS9" s="100"/>
      <c r="AT9" s="74"/>
      <c r="AU9" s="74"/>
      <c r="AV9" s="74"/>
      <c r="AW9" s="95" t="s">
        <v>293</v>
      </c>
      <c r="AX9" s="95" t="s">
        <v>294</v>
      </c>
      <c r="AY9" s="95">
        <v>230.0</v>
      </c>
      <c r="AZ9" s="99"/>
      <c r="BB9" s="100"/>
      <c r="BC9" s="95" t="s">
        <v>202</v>
      </c>
      <c r="BD9" s="95" t="s">
        <v>295</v>
      </c>
      <c r="BE9" s="95">
        <v>1960.0</v>
      </c>
      <c r="BF9" s="95" t="s">
        <v>296</v>
      </c>
      <c r="BG9" s="95" t="s">
        <v>236</v>
      </c>
      <c r="BH9" s="95">
        <v>100.0</v>
      </c>
      <c r="BI9" s="74"/>
      <c r="BJ9" s="74"/>
      <c r="BK9" s="74"/>
      <c r="BL9" s="74"/>
      <c r="BM9" s="74"/>
      <c r="BN9" s="74"/>
      <c r="BO9" s="95" t="s">
        <v>254</v>
      </c>
      <c r="BP9" s="74"/>
      <c r="BQ9" s="95">
        <v>120.0</v>
      </c>
      <c r="BR9" s="95" t="s">
        <v>297</v>
      </c>
      <c r="BS9" s="74"/>
      <c r="BT9" s="95">
        <v>700.0</v>
      </c>
      <c r="BU9" s="74"/>
      <c r="BV9" s="74"/>
      <c r="BW9" s="74"/>
      <c r="BX9" s="95" t="s">
        <v>298</v>
      </c>
      <c r="BY9" s="74"/>
      <c r="BZ9" s="95">
        <v>50.0</v>
      </c>
      <c r="CA9" s="95" t="s">
        <v>299</v>
      </c>
      <c r="CB9" s="74"/>
      <c r="CC9" s="95">
        <v>200.0</v>
      </c>
      <c r="CD9" s="95" t="s">
        <v>300</v>
      </c>
      <c r="CE9" s="74"/>
      <c r="CF9" s="95">
        <v>3420.0</v>
      </c>
    </row>
    <row r="10" ht="15.75" customHeight="1">
      <c r="A10" s="98" t="s">
        <v>301</v>
      </c>
      <c r="B10" s="95" t="s">
        <v>302</v>
      </c>
      <c r="C10" s="95">
        <v>100.0</v>
      </c>
      <c r="D10" s="90" t="s">
        <v>303</v>
      </c>
      <c r="E10" s="90" t="s">
        <v>304</v>
      </c>
      <c r="F10" s="90">
        <v>1780.0</v>
      </c>
      <c r="G10" s="103" t="s">
        <v>305</v>
      </c>
      <c r="H10" s="7"/>
      <c r="I10" s="90">
        <v>850.0</v>
      </c>
      <c r="J10" s="90" t="s">
        <v>264</v>
      </c>
      <c r="K10" s="90" t="s">
        <v>196</v>
      </c>
      <c r="L10" s="90">
        <v>100.0</v>
      </c>
      <c r="M10" s="95" t="s">
        <v>306</v>
      </c>
      <c r="N10" s="95" t="s">
        <v>196</v>
      </c>
      <c r="O10" s="95">
        <v>140.0</v>
      </c>
      <c r="P10" s="89" t="s">
        <v>190</v>
      </c>
      <c r="Q10" s="7"/>
      <c r="R10" s="90">
        <v>50.0</v>
      </c>
      <c r="S10" s="90" t="s">
        <v>307</v>
      </c>
      <c r="T10" s="90" t="s">
        <v>256</v>
      </c>
      <c r="U10" s="90">
        <v>100.0</v>
      </c>
      <c r="V10" s="99"/>
      <c r="X10" s="100"/>
      <c r="Y10" s="89" t="s">
        <v>308</v>
      </c>
      <c r="Z10" s="7"/>
      <c r="AA10" s="90">
        <v>80.0</v>
      </c>
      <c r="AB10" s="95" t="s">
        <v>299</v>
      </c>
      <c r="AC10" s="95" t="s">
        <v>309</v>
      </c>
      <c r="AD10" s="95">
        <v>3270.0</v>
      </c>
      <c r="AE10" s="74"/>
      <c r="AF10" s="74"/>
      <c r="AG10" s="74"/>
      <c r="AH10" s="95" t="s">
        <v>245</v>
      </c>
      <c r="AI10" s="95" t="s">
        <v>246</v>
      </c>
      <c r="AJ10" s="95">
        <v>200.0</v>
      </c>
      <c r="AK10" s="74"/>
      <c r="AL10" s="74"/>
      <c r="AM10" s="74"/>
      <c r="AN10" s="95" t="s">
        <v>310</v>
      </c>
      <c r="AO10" s="95" t="s">
        <v>311</v>
      </c>
      <c r="AP10" s="95">
        <v>80.0</v>
      </c>
      <c r="AQ10" s="99"/>
      <c r="AS10" s="100"/>
      <c r="AT10" s="74"/>
      <c r="AU10" s="74"/>
      <c r="AV10" s="74"/>
      <c r="AW10" s="95" t="s">
        <v>312</v>
      </c>
      <c r="AX10" s="74"/>
      <c r="AY10" s="95">
        <v>100.0</v>
      </c>
      <c r="AZ10" s="99"/>
      <c r="BB10" s="100"/>
      <c r="BC10" s="95" t="s">
        <v>313</v>
      </c>
      <c r="BD10" s="95" t="s">
        <v>314</v>
      </c>
      <c r="BE10" s="95">
        <v>2770.0</v>
      </c>
      <c r="BF10" s="95" t="s">
        <v>315</v>
      </c>
      <c r="BG10" s="95" t="s">
        <v>236</v>
      </c>
      <c r="BH10" s="95">
        <v>170.0</v>
      </c>
      <c r="BI10" s="74"/>
      <c r="BJ10" s="74"/>
      <c r="BK10" s="74"/>
      <c r="BL10" s="74"/>
      <c r="BM10" s="74"/>
      <c r="BN10" s="74"/>
      <c r="BO10" s="74"/>
      <c r="BP10" s="74"/>
      <c r="BQ10" s="74"/>
      <c r="BR10" s="95" t="s">
        <v>316</v>
      </c>
      <c r="BS10" s="74"/>
      <c r="BT10" s="95">
        <v>295.0</v>
      </c>
      <c r="BU10" s="74"/>
      <c r="BV10" s="74"/>
      <c r="BW10" s="74"/>
      <c r="BX10" s="95" t="s">
        <v>254</v>
      </c>
      <c r="BY10" s="74"/>
      <c r="BZ10" s="95">
        <v>50.0</v>
      </c>
      <c r="CA10" s="95" t="s">
        <v>317</v>
      </c>
      <c r="CB10" s="74"/>
      <c r="CC10" s="95">
        <v>410.0</v>
      </c>
      <c r="CD10" s="95" t="s">
        <v>318</v>
      </c>
      <c r="CE10" s="74"/>
      <c r="CF10" s="95">
        <v>110.0</v>
      </c>
    </row>
    <row r="11" ht="15.75" customHeight="1">
      <c r="A11" s="98" t="s">
        <v>319</v>
      </c>
      <c r="B11" s="95" t="s">
        <v>219</v>
      </c>
      <c r="C11" s="95">
        <v>100.0</v>
      </c>
      <c r="D11" s="90" t="s">
        <v>303</v>
      </c>
      <c r="E11" s="90" t="s">
        <v>320</v>
      </c>
      <c r="F11" s="90">
        <v>710.0</v>
      </c>
      <c r="G11" s="90" t="s">
        <v>321</v>
      </c>
      <c r="H11" s="90" t="s">
        <v>256</v>
      </c>
      <c r="I11" s="90">
        <v>80.0</v>
      </c>
      <c r="J11" s="90" t="s">
        <v>277</v>
      </c>
      <c r="K11" s="90" t="s">
        <v>322</v>
      </c>
      <c r="L11" s="90">
        <v>600.0</v>
      </c>
      <c r="M11" s="95" t="s">
        <v>323</v>
      </c>
      <c r="N11" s="95" t="s">
        <v>234</v>
      </c>
      <c r="O11" s="95">
        <v>120.0</v>
      </c>
      <c r="P11" s="90" t="s">
        <v>324</v>
      </c>
      <c r="Q11" s="90" t="s">
        <v>325</v>
      </c>
      <c r="R11" s="90">
        <v>160.0</v>
      </c>
      <c r="S11" s="90" t="s">
        <v>306</v>
      </c>
      <c r="T11" s="90" t="s">
        <v>196</v>
      </c>
      <c r="U11" s="90">
        <v>100.0</v>
      </c>
      <c r="V11" s="99"/>
      <c r="X11" s="100"/>
      <c r="Y11" s="78"/>
      <c r="Z11" s="78"/>
      <c r="AA11" s="78"/>
      <c r="AB11" s="95" t="s">
        <v>326</v>
      </c>
      <c r="AC11" s="95" t="s">
        <v>327</v>
      </c>
      <c r="AD11" s="95">
        <v>650.0</v>
      </c>
      <c r="AE11" s="74"/>
      <c r="AF11" s="74"/>
      <c r="AG11" s="74"/>
      <c r="AH11" s="95" t="s">
        <v>242</v>
      </c>
      <c r="AI11" s="95" t="s">
        <v>246</v>
      </c>
      <c r="AJ11" s="95">
        <v>250.0</v>
      </c>
      <c r="AK11" s="74"/>
      <c r="AL11" s="74"/>
      <c r="AM11" s="74"/>
      <c r="AN11" s="95" t="s">
        <v>328</v>
      </c>
      <c r="AO11" s="95" t="s">
        <v>248</v>
      </c>
      <c r="AP11" s="95">
        <v>180.0</v>
      </c>
      <c r="AQ11" s="99"/>
      <c r="AS11" s="100"/>
      <c r="AT11" s="74"/>
      <c r="AU11" s="74"/>
      <c r="AV11" s="74"/>
      <c r="AW11" s="95" t="s">
        <v>329</v>
      </c>
      <c r="AX11" s="95" t="s">
        <v>290</v>
      </c>
      <c r="AY11" s="95">
        <v>100.0</v>
      </c>
      <c r="AZ11" s="99"/>
      <c r="BB11" s="100"/>
      <c r="BC11" s="95" t="s">
        <v>254</v>
      </c>
      <c r="BD11" s="74"/>
      <c r="BE11" s="95">
        <v>90.0</v>
      </c>
      <c r="BF11" s="95" t="s">
        <v>318</v>
      </c>
      <c r="BG11" s="95" t="s">
        <v>196</v>
      </c>
      <c r="BH11" s="95">
        <v>150.0</v>
      </c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95" t="s">
        <v>217</v>
      </c>
      <c r="BY11" s="74"/>
      <c r="BZ11" s="95">
        <v>100.0</v>
      </c>
      <c r="CA11" s="95" t="s">
        <v>330</v>
      </c>
      <c r="CB11" s="74"/>
      <c r="CC11" s="95">
        <v>150.0</v>
      </c>
      <c r="CD11" s="95" t="s">
        <v>331</v>
      </c>
      <c r="CE11" s="74"/>
      <c r="CF11" s="95">
        <v>20.0</v>
      </c>
    </row>
    <row r="12" ht="15.75" customHeight="1">
      <c r="A12" s="52" t="s">
        <v>332</v>
      </c>
      <c r="B12" s="95" t="s">
        <v>333</v>
      </c>
      <c r="C12" s="95">
        <v>150.0</v>
      </c>
      <c r="D12" s="90" t="s">
        <v>277</v>
      </c>
      <c r="E12" s="90" t="s">
        <v>256</v>
      </c>
      <c r="F12" s="90">
        <v>90.0</v>
      </c>
      <c r="G12" s="78"/>
      <c r="H12" s="78"/>
      <c r="I12" s="90"/>
      <c r="J12" s="90" t="s">
        <v>334</v>
      </c>
      <c r="K12" s="90" t="s">
        <v>335</v>
      </c>
      <c r="L12" s="90">
        <v>880.0</v>
      </c>
      <c r="M12" s="95" t="s">
        <v>321</v>
      </c>
      <c r="N12" s="95" t="s">
        <v>336</v>
      </c>
      <c r="O12" s="95">
        <v>880.0</v>
      </c>
      <c r="P12" s="90" t="s">
        <v>337</v>
      </c>
      <c r="Q12" s="90" t="s">
        <v>338</v>
      </c>
      <c r="R12" s="90">
        <v>6310.0</v>
      </c>
      <c r="S12" s="90" t="s">
        <v>339</v>
      </c>
      <c r="T12" s="90" t="s">
        <v>234</v>
      </c>
      <c r="U12" s="90">
        <v>200.0</v>
      </c>
      <c r="V12" s="99"/>
      <c r="X12" s="100"/>
      <c r="Y12" s="78"/>
      <c r="Z12" s="78"/>
      <c r="AA12" s="78"/>
      <c r="AB12" s="95" t="s">
        <v>340</v>
      </c>
      <c r="AC12" s="74"/>
      <c r="AD12" s="95">
        <v>40.0</v>
      </c>
      <c r="AE12" s="74"/>
      <c r="AF12" s="74"/>
      <c r="AG12" s="74"/>
      <c r="AH12" s="95" t="s">
        <v>341</v>
      </c>
      <c r="AI12" s="74"/>
      <c r="AJ12" s="95">
        <v>200.0</v>
      </c>
      <c r="AK12" s="74"/>
      <c r="AL12" s="74"/>
      <c r="AM12" s="74"/>
      <c r="AN12" s="95" t="s">
        <v>342</v>
      </c>
      <c r="AO12" s="95" t="s">
        <v>219</v>
      </c>
      <c r="AP12" s="95">
        <v>50.0</v>
      </c>
      <c r="AQ12" s="99"/>
      <c r="AS12" s="100"/>
      <c r="AT12" s="74"/>
      <c r="AU12" s="74"/>
      <c r="AV12" s="74"/>
      <c r="AW12" s="74"/>
      <c r="AX12" s="74"/>
      <c r="AY12" s="74"/>
      <c r="AZ12" s="99"/>
      <c r="BB12" s="100"/>
      <c r="BC12" s="105" t="s">
        <v>217</v>
      </c>
      <c r="BD12" s="106"/>
      <c r="BE12" s="105">
        <v>100.0</v>
      </c>
      <c r="BF12" s="95" t="s">
        <v>222</v>
      </c>
      <c r="BG12" s="95" t="s">
        <v>343</v>
      </c>
      <c r="BH12" s="95">
        <v>60.0</v>
      </c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95" t="s">
        <v>213</v>
      </c>
      <c r="BY12" s="74"/>
      <c r="BZ12" s="95">
        <v>90.0</v>
      </c>
      <c r="CA12" s="95" t="s">
        <v>344</v>
      </c>
      <c r="CB12" s="74"/>
      <c r="CC12" s="95">
        <v>1620.0</v>
      </c>
      <c r="CD12" s="95" t="s">
        <v>299</v>
      </c>
      <c r="CE12" s="74"/>
      <c r="CF12" s="95">
        <v>120.0</v>
      </c>
    </row>
    <row r="13" ht="15.75" customHeight="1">
      <c r="A13" s="98" t="s">
        <v>345</v>
      </c>
      <c r="B13" s="74"/>
      <c r="C13" s="95">
        <v>15.0</v>
      </c>
      <c r="D13" s="90" t="s">
        <v>346</v>
      </c>
      <c r="E13" s="90" t="s">
        <v>325</v>
      </c>
      <c r="F13" s="90">
        <v>70.0</v>
      </c>
      <c r="G13" s="78"/>
      <c r="H13" s="78"/>
      <c r="I13" s="78"/>
      <c r="J13" s="90" t="s">
        <v>347</v>
      </c>
      <c r="K13" s="90" t="s">
        <v>348</v>
      </c>
      <c r="L13" s="90">
        <v>100.0</v>
      </c>
      <c r="M13" s="107" t="s">
        <v>190</v>
      </c>
      <c r="N13" s="7"/>
      <c r="O13" s="95">
        <v>100.0</v>
      </c>
      <c r="P13" s="90" t="s">
        <v>349</v>
      </c>
      <c r="Q13" s="90" t="s">
        <v>350</v>
      </c>
      <c r="R13" s="108">
        <v>120.0</v>
      </c>
      <c r="S13" s="90" t="s">
        <v>321</v>
      </c>
      <c r="T13" s="90" t="s">
        <v>325</v>
      </c>
      <c r="U13" s="90">
        <v>40.0</v>
      </c>
      <c r="V13" s="99"/>
      <c r="X13" s="100"/>
      <c r="Y13" s="78"/>
      <c r="Z13" s="78"/>
      <c r="AA13" s="78"/>
      <c r="AB13" s="74"/>
      <c r="AC13" s="74"/>
      <c r="AD13" s="74"/>
      <c r="AE13" s="74"/>
      <c r="AF13" s="74"/>
      <c r="AG13" s="74"/>
      <c r="AH13" s="95" t="s">
        <v>351</v>
      </c>
      <c r="AI13" s="95" t="s">
        <v>246</v>
      </c>
      <c r="AJ13" s="95">
        <v>450.0</v>
      </c>
      <c r="AK13" s="74"/>
      <c r="AL13" s="74"/>
      <c r="AM13" s="74"/>
      <c r="AN13" s="95" t="s">
        <v>352</v>
      </c>
      <c r="AO13" s="95" t="s">
        <v>353</v>
      </c>
      <c r="AP13" s="95">
        <v>40.0</v>
      </c>
      <c r="AQ13" s="109"/>
      <c r="AR13" s="110"/>
      <c r="AS13" s="111"/>
      <c r="AT13" s="74"/>
      <c r="AU13" s="74"/>
      <c r="AV13" s="74"/>
      <c r="AW13" s="74"/>
      <c r="AX13" s="74"/>
      <c r="AY13" s="74"/>
      <c r="AZ13" s="99"/>
      <c r="BB13" s="100"/>
      <c r="BC13" s="95" t="s">
        <v>354</v>
      </c>
      <c r="BD13" s="74"/>
      <c r="BE13" s="95">
        <v>200.0</v>
      </c>
      <c r="BF13" s="95" t="s">
        <v>355</v>
      </c>
      <c r="BG13" s="95" t="s">
        <v>356</v>
      </c>
      <c r="BH13" s="95">
        <v>70.0</v>
      </c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95" t="s">
        <v>254</v>
      </c>
      <c r="BY13" s="74"/>
      <c r="BZ13" s="95">
        <v>20.0</v>
      </c>
      <c r="CA13" s="95" t="s">
        <v>329</v>
      </c>
      <c r="CB13" s="74"/>
      <c r="CC13" s="95">
        <v>30.0</v>
      </c>
      <c r="CD13" s="95" t="s">
        <v>357</v>
      </c>
      <c r="CE13" s="74"/>
      <c r="CF13" s="95">
        <v>100.0</v>
      </c>
    </row>
    <row r="14" ht="15.75" customHeight="1">
      <c r="A14" s="98" t="s">
        <v>358</v>
      </c>
      <c r="B14" s="95" t="s">
        <v>359</v>
      </c>
      <c r="C14" s="95">
        <v>1130.0</v>
      </c>
      <c r="D14" s="90" t="s">
        <v>360</v>
      </c>
      <c r="E14" s="90" t="s">
        <v>361</v>
      </c>
      <c r="F14" s="90">
        <v>60.0</v>
      </c>
      <c r="G14" s="78"/>
      <c r="H14" s="78"/>
      <c r="I14" s="78"/>
      <c r="J14" s="90" t="s">
        <v>362</v>
      </c>
      <c r="K14" s="90" t="s">
        <v>261</v>
      </c>
      <c r="L14" s="90">
        <v>70.0</v>
      </c>
      <c r="M14" s="95" t="s">
        <v>363</v>
      </c>
      <c r="N14" s="95" t="s">
        <v>364</v>
      </c>
      <c r="O14" s="95">
        <v>7100.0</v>
      </c>
      <c r="P14" s="90" t="s">
        <v>362</v>
      </c>
      <c r="Q14" s="90" t="s">
        <v>365</v>
      </c>
      <c r="R14" s="108">
        <v>90.0</v>
      </c>
      <c r="S14" s="90" t="s">
        <v>366</v>
      </c>
      <c r="T14" s="90">
        <v>1.0</v>
      </c>
      <c r="U14" s="90">
        <v>30.0</v>
      </c>
      <c r="V14" s="99"/>
      <c r="X14" s="100"/>
      <c r="Y14" s="78"/>
      <c r="Z14" s="78"/>
      <c r="AA14" s="78"/>
      <c r="AB14" s="74"/>
      <c r="AC14" s="74"/>
      <c r="AD14" s="74"/>
      <c r="AE14" s="74"/>
      <c r="AF14" s="74"/>
      <c r="AG14" s="74"/>
      <c r="AH14" s="95" t="s">
        <v>367</v>
      </c>
      <c r="AI14" s="95" t="s">
        <v>343</v>
      </c>
      <c r="AJ14" s="95">
        <v>690.0</v>
      </c>
      <c r="AK14" s="74"/>
      <c r="AL14" s="74"/>
      <c r="AM14" s="74"/>
      <c r="AN14" s="95" t="s">
        <v>368</v>
      </c>
      <c r="AO14" s="74"/>
      <c r="AP14" s="95">
        <v>30.0</v>
      </c>
      <c r="AQ14" s="74"/>
      <c r="AR14" s="74"/>
      <c r="AS14" s="74"/>
      <c r="AT14" s="74"/>
      <c r="AU14" s="74"/>
      <c r="AV14" s="74"/>
      <c r="AW14" s="74"/>
      <c r="AX14" s="74"/>
      <c r="AY14" s="74"/>
      <c r="AZ14" s="99"/>
      <c r="BB14" s="100"/>
      <c r="BC14" s="74"/>
      <c r="BD14" s="74"/>
      <c r="BE14" s="74"/>
      <c r="BF14" s="95" t="s">
        <v>369</v>
      </c>
      <c r="BG14" s="95" t="s">
        <v>370</v>
      </c>
      <c r="BH14" s="95">
        <v>1330.0</v>
      </c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95" t="s">
        <v>310</v>
      </c>
      <c r="BY14" s="95" t="s">
        <v>371</v>
      </c>
      <c r="BZ14" s="95">
        <v>210.0</v>
      </c>
      <c r="CA14" s="95" t="s">
        <v>204</v>
      </c>
      <c r="CB14" s="74"/>
      <c r="CC14" s="95">
        <v>30.0</v>
      </c>
      <c r="CD14" s="95" t="s">
        <v>372</v>
      </c>
      <c r="CE14" s="74"/>
      <c r="CF14" s="95">
        <v>170.0</v>
      </c>
    </row>
    <row r="15" ht="15.75" customHeight="1">
      <c r="A15" s="98" t="s">
        <v>273</v>
      </c>
      <c r="B15" s="95" t="s">
        <v>373</v>
      </c>
      <c r="C15" s="95">
        <v>7250.0</v>
      </c>
      <c r="D15" s="90" t="s">
        <v>374</v>
      </c>
      <c r="E15" s="90" t="s">
        <v>375</v>
      </c>
      <c r="F15" s="90">
        <v>20.0</v>
      </c>
      <c r="G15" s="78"/>
      <c r="H15" s="78"/>
      <c r="I15" s="78"/>
      <c r="J15" s="90" t="s">
        <v>374</v>
      </c>
      <c r="K15" s="90" t="s">
        <v>376</v>
      </c>
      <c r="L15" s="90">
        <v>10.0</v>
      </c>
      <c r="M15" s="95" t="s">
        <v>377</v>
      </c>
      <c r="N15" s="74"/>
      <c r="O15" s="95">
        <v>50.0</v>
      </c>
      <c r="P15" s="90" t="s">
        <v>378</v>
      </c>
      <c r="Q15" s="90" t="s">
        <v>379</v>
      </c>
      <c r="R15" s="90">
        <v>160.0</v>
      </c>
      <c r="S15" s="90" t="s">
        <v>278</v>
      </c>
      <c r="T15" s="90">
        <v>3.0</v>
      </c>
      <c r="U15" s="90">
        <v>120.0</v>
      </c>
      <c r="V15" s="99"/>
      <c r="X15" s="100"/>
      <c r="Y15" s="78"/>
      <c r="Z15" s="78"/>
      <c r="AA15" s="78"/>
      <c r="AB15" s="74"/>
      <c r="AC15" s="74"/>
      <c r="AD15" s="74"/>
      <c r="AE15" s="74"/>
      <c r="AF15" s="74"/>
      <c r="AG15" s="74"/>
      <c r="AH15" s="95" t="s">
        <v>254</v>
      </c>
      <c r="AI15" s="74"/>
      <c r="AJ15" s="95">
        <v>100.0</v>
      </c>
      <c r="AK15" s="74"/>
      <c r="AL15" s="74"/>
      <c r="AM15" s="74"/>
      <c r="AN15" s="95" t="s">
        <v>380</v>
      </c>
      <c r="AO15" s="74"/>
      <c r="AP15" s="95">
        <v>300.0</v>
      </c>
      <c r="AQ15" s="74"/>
      <c r="AR15" s="74"/>
      <c r="AS15" s="74"/>
      <c r="AT15" s="74"/>
      <c r="AU15" s="74"/>
      <c r="AV15" s="74"/>
      <c r="AW15" s="74"/>
      <c r="AX15" s="74"/>
      <c r="AY15" s="74"/>
      <c r="AZ15" s="109"/>
      <c r="BA15" s="110"/>
      <c r="BB15" s="111"/>
      <c r="BC15" s="74"/>
      <c r="BD15" s="74"/>
      <c r="BE15" s="74"/>
      <c r="BF15" s="95" t="s">
        <v>381</v>
      </c>
      <c r="BG15" s="95" t="s">
        <v>246</v>
      </c>
      <c r="BH15" s="95">
        <v>140.0</v>
      </c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95" t="s">
        <v>341</v>
      </c>
      <c r="CE15" s="74"/>
      <c r="CF15" s="95">
        <v>190.0</v>
      </c>
    </row>
    <row r="16" ht="15.75" customHeight="1">
      <c r="A16" s="98" t="s">
        <v>382</v>
      </c>
      <c r="B16" s="74"/>
      <c r="C16" s="95">
        <v>90.0</v>
      </c>
      <c r="D16" s="90" t="s">
        <v>306</v>
      </c>
      <c r="E16" s="90" t="s">
        <v>325</v>
      </c>
      <c r="F16" s="90">
        <v>30.0</v>
      </c>
      <c r="G16" s="78"/>
      <c r="H16" s="78"/>
      <c r="I16" s="78"/>
      <c r="J16" s="90" t="s">
        <v>383</v>
      </c>
      <c r="K16" s="90" t="s">
        <v>376</v>
      </c>
      <c r="L16" s="90">
        <v>1470.0</v>
      </c>
      <c r="M16" s="95" t="s">
        <v>195</v>
      </c>
      <c r="N16" s="95" t="s">
        <v>256</v>
      </c>
      <c r="O16" s="95">
        <v>80.0</v>
      </c>
      <c r="P16" s="90" t="s">
        <v>384</v>
      </c>
      <c r="Q16" s="78"/>
      <c r="R16" s="90">
        <v>123.0</v>
      </c>
      <c r="S16" s="90" t="s">
        <v>360</v>
      </c>
      <c r="T16" s="90" t="s">
        <v>325</v>
      </c>
      <c r="U16" s="90">
        <v>140.0</v>
      </c>
      <c r="V16" s="99"/>
      <c r="X16" s="100"/>
      <c r="Y16" s="78"/>
      <c r="Z16" s="78"/>
      <c r="AA16" s="78"/>
      <c r="AB16" s="74"/>
      <c r="AC16" s="74"/>
      <c r="AD16" s="74"/>
      <c r="AE16" s="74"/>
      <c r="AF16" s="74"/>
      <c r="AG16" s="74"/>
      <c r="AH16" s="95" t="s">
        <v>300</v>
      </c>
      <c r="AI16" s="95" t="s">
        <v>385</v>
      </c>
      <c r="AJ16" s="95">
        <v>7905.0</v>
      </c>
      <c r="AK16" s="74"/>
      <c r="AL16" s="74"/>
      <c r="AM16" s="74"/>
      <c r="AN16" s="95" t="s">
        <v>386</v>
      </c>
      <c r="AO16" s="74"/>
      <c r="AP16" s="95">
        <v>250.0</v>
      </c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95" t="s">
        <v>387</v>
      </c>
      <c r="BG16" s="74"/>
      <c r="BH16" s="95">
        <v>20.0</v>
      </c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95" t="s">
        <v>388</v>
      </c>
      <c r="CE16" s="74"/>
      <c r="CF16" s="95">
        <v>70.0</v>
      </c>
    </row>
    <row r="17" ht="15.75" customHeight="1">
      <c r="A17" s="98" t="s">
        <v>389</v>
      </c>
      <c r="B17" s="74"/>
      <c r="C17" s="95">
        <v>230.0</v>
      </c>
      <c r="D17" s="90" t="s">
        <v>278</v>
      </c>
      <c r="E17" s="90" t="s">
        <v>375</v>
      </c>
      <c r="F17" s="90">
        <v>20.0</v>
      </c>
      <c r="G17" s="78"/>
      <c r="H17" s="78"/>
      <c r="I17" s="90"/>
      <c r="J17" s="91" t="s">
        <v>390</v>
      </c>
      <c r="K17" s="7"/>
      <c r="L17" s="90">
        <v>50.0</v>
      </c>
      <c r="M17" s="95" t="s">
        <v>391</v>
      </c>
      <c r="N17" s="74"/>
      <c r="O17" s="95">
        <v>20.0</v>
      </c>
      <c r="P17" s="78"/>
      <c r="Q17" s="78"/>
      <c r="R17" s="78"/>
      <c r="S17" s="74"/>
      <c r="T17" s="74"/>
      <c r="U17" s="74"/>
      <c r="V17" s="99"/>
      <c r="X17" s="100"/>
      <c r="Y17" s="78"/>
      <c r="Z17" s="78"/>
      <c r="AA17" s="78"/>
      <c r="AB17" s="74"/>
      <c r="AC17" s="74"/>
      <c r="AD17" s="74"/>
      <c r="AE17" s="74"/>
      <c r="AF17" s="74"/>
      <c r="AG17" s="74"/>
      <c r="AH17" s="95" t="s">
        <v>392</v>
      </c>
      <c r="AI17" s="95" t="s">
        <v>393</v>
      </c>
      <c r="AJ17" s="95">
        <v>2500.0</v>
      </c>
      <c r="AK17" s="74"/>
      <c r="AL17" s="74"/>
      <c r="AM17" s="74"/>
      <c r="AN17" s="95" t="s">
        <v>355</v>
      </c>
      <c r="AO17" s="74"/>
      <c r="AP17" s="95">
        <v>130.0</v>
      </c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95" t="s">
        <v>394</v>
      </c>
      <c r="CE17" s="74"/>
      <c r="CF17" s="95">
        <v>500.0</v>
      </c>
    </row>
    <row r="18" ht="15.75" customHeight="1">
      <c r="A18" s="98" t="s">
        <v>395</v>
      </c>
      <c r="B18" s="95" t="s">
        <v>396</v>
      </c>
      <c r="C18" s="95">
        <v>70.0</v>
      </c>
      <c r="D18" s="89" t="s">
        <v>190</v>
      </c>
      <c r="E18" s="7"/>
      <c r="F18" s="90">
        <v>20.0</v>
      </c>
      <c r="G18" s="78"/>
      <c r="H18" s="78"/>
      <c r="I18" s="78"/>
      <c r="J18" s="78"/>
      <c r="K18" s="78"/>
      <c r="L18" s="78"/>
      <c r="M18" s="95"/>
      <c r="N18" s="74"/>
      <c r="O18" s="95"/>
      <c r="P18" s="78"/>
      <c r="Q18" s="78"/>
      <c r="R18" s="78"/>
      <c r="S18" s="74"/>
      <c r="T18" s="74"/>
      <c r="U18" s="74"/>
      <c r="V18" s="109"/>
      <c r="W18" s="110"/>
      <c r="X18" s="111"/>
      <c r="Y18" s="78"/>
      <c r="Z18" s="78"/>
      <c r="AA18" s="78"/>
      <c r="AB18" s="74"/>
      <c r="AC18" s="74"/>
      <c r="AD18" s="74"/>
      <c r="AE18" s="74"/>
      <c r="AF18" s="74"/>
      <c r="AG18" s="74"/>
      <c r="AH18" s="95" t="s">
        <v>222</v>
      </c>
      <c r="AI18" s="95" t="s">
        <v>290</v>
      </c>
      <c r="AJ18" s="95">
        <v>30.0</v>
      </c>
      <c r="AK18" s="74"/>
      <c r="AL18" s="74"/>
      <c r="AM18" s="74"/>
      <c r="AN18" s="95" t="s">
        <v>397</v>
      </c>
      <c r="AO18" s="74"/>
      <c r="AP18" s="95">
        <v>20.0</v>
      </c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112" t="s">
        <v>398</v>
      </c>
      <c r="CE18" s="7"/>
      <c r="CF18" s="74"/>
    </row>
    <row r="19" ht="15.75" customHeight="1">
      <c r="A19" s="113" t="s">
        <v>399</v>
      </c>
      <c r="B19" s="7"/>
      <c r="C19" s="95">
        <v>80.0</v>
      </c>
      <c r="D19" s="91" t="s">
        <v>390</v>
      </c>
      <c r="E19" s="7"/>
      <c r="F19" s="90">
        <v>50.0</v>
      </c>
      <c r="G19" s="78"/>
      <c r="H19" s="78"/>
      <c r="I19" s="78"/>
      <c r="J19" s="78"/>
      <c r="K19" s="78"/>
      <c r="L19" s="78"/>
      <c r="M19" s="95"/>
      <c r="N19" s="74"/>
      <c r="O19" s="95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95" t="s">
        <v>400</v>
      </c>
      <c r="AO19" s="74"/>
      <c r="AP19" s="95">
        <v>10.0</v>
      </c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95" t="s">
        <v>273</v>
      </c>
      <c r="CE19" s="95" t="s">
        <v>274</v>
      </c>
      <c r="CF19" s="95">
        <v>-2880.0</v>
      </c>
    </row>
    <row r="20" ht="15.75" customHeight="1">
      <c r="A20" s="98" t="s">
        <v>401</v>
      </c>
      <c r="B20" s="95" t="s">
        <v>336</v>
      </c>
      <c r="C20" s="95">
        <v>2500.0</v>
      </c>
      <c r="D20" s="78"/>
      <c r="E20" s="78"/>
      <c r="F20" s="78"/>
      <c r="G20" s="78"/>
      <c r="H20" s="78"/>
      <c r="I20" s="78"/>
      <c r="J20" s="78"/>
      <c r="K20" s="78"/>
      <c r="L20" s="78"/>
      <c r="M20" s="95"/>
      <c r="N20" s="74"/>
      <c r="O20" s="74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95" t="s">
        <v>402</v>
      </c>
      <c r="AO20" s="95" t="s">
        <v>236</v>
      </c>
      <c r="AP20" s="95">
        <v>700.0</v>
      </c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95" t="s">
        <v>403</v>
      </c>
      <c r="CE20" s="95" t="s">
        <v>404</v>
      </c>
      <c r="CF20" s="95">
        <v>-750.0</v>
      </c>
    </row>
    <row r="21" ht="15.75" customHeight="1">
      <c r="A21" s="98" t="s">
        <v>405</v>
      </c>
      <c r="B21" s="95" t="s">
        <v>234</v>
      </c>
      <c r="C21" s="95">
        <v>180.0</v>
      </c>
      <c r="D21" s="78"/>
      <c r="E21" s="78"/>
      <c r="F21" s="78"/>
      <c r="G21" s="78"/>
      <c r="H21" s="78"/>
      <c r="I21" s="78"/>
      <c r="J21" s="78"/>
      <c r="K21" s="78"/>
      <c r="L21" s="78"/>
      <c r="M21" s="95"/>
      <c r="N21" s="74"/>
      <c r="O21" s="74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95" t="s">
        <v>198</v>
      </c>
      <c r="AO21" s="95" t="s">
        <v>406</v>
      </c>
      <c r="AP21" s="95">
        <v>1280.0</v>
      </c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95" t="s">
        <v>202</v>
      </c>
      <c r="CE21" s="95" t="s">
        <v>407</v>
      </c>
      <c r="CF21" s="95">
        <v>-610.0</v>
      </c>
    </row>
    <row r="22" ht="15.75" customHeight="1">
      <c r="A22" s="98" t="s">
        <v>408</v>
      </c>
      <c r="B22" s="95" t="s">
        <v>234</v>
      </c>
      <c r="C22" s="95">
        <v>140.0</v>
      </c>
      <c r="D22" s="78"/>
      <c r="E22" s="78"/>
      <c r="F22" s="78"/>
      <c r="G22" s="78"/>
      <c r="H22" s="78"/>
      <c r="I22" s="78"/>
      <c r="J22" s="78"/>
      <c r="K22" s="78"/>
      <c r="L22" s="78"/>
      <c r="M22" s="95"/>
      <c r="N22" s="74"/>
      <c r="O22" s="74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95" t="s">
        <v>409</v>
      </c>
      <c r="AO22" s="74"/>
      <c r="AP22" s="95">
        <v>-312.0</v>
      </c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95" t="s">
        <v>270</v>
      </c>
      <c r="CE22" s="74"/>
      <c r="CF22" s="95">
        <v>-1300.0</v>
      </c>
    </row>
    <row r="23" ht="15.75" customHeight="1">
      <c r="A23" s="98" t="s">
        <v>410</v>
      </c>
      <c r="B23" s="74"/>
      <c r="C23" s="95">
        <v>200.0</v>
      </c>
      <c r="D23" s="78"/>
      <c r="E23" s="78"/>
      <c r="F23" s="78"/>
      <c r="G23" s="78"/>
      <c r="H23" s="78"/>
      <c r="I23" s="78"/>
      <c r="J23" s="78"/>
      <c r="K23" s="78"/>
      <c r="L23" s="78"/>
      <c r="M23" s="95"/>
      <c r="N23" s="74"/>
      <c r="O23" s="74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F23" s="74"/>
    </row>
    <row r="24" ht="15.75" customHeight="1">
      <c r="A24" s="98" t="s">
        <v>411</v>
      </c>
      <c r="B24" s="95" t="s">
        <v>412</v>
      </c>
      <c r="C24" s="95">
        <v>60.0</v>
      </c>
      <c r="D24" s="78"/>
      <c r="E24" s="78"/>
      <c r="F24" s="78"/>
      <c r="G24" s="78"/>
      <c r="H24" s="78"/>
      <c r="I24" s="78"/>
      <c r="J24" s="78"/>
      <c r="K24" s="78"/>
      <c r="L24" s="78"/>
      <c r="M24" s="95"/>
      <c r="N24" s="74"/>
      <c r="O24" s="74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95" t="s">
        <v>413</v>
      </c>
      <c r="CF24" s="95">
        <v>-200.0</v>
      </c>
    </row>
    <row r="25" ht="15.75" customHeight="1">
      <c r="A25" s="98" t="s">
        <v>414</v>
      </c>
      <c r="B25" s="74"/>
      <c r="C25" s="95">
        <v>150.0</v>
      </c>
      <c r="D25" s="78"/>
      <c r="E25" s="78"/>
      <c r="F25" s="78"/>
      <c r="G25" s="78"/>
      <c r="H25" s="78"/>
      <c r="I25" s="78"/>
      <c r="J25" s="78"/>
      <c r="K25" s="78"/>
      <c r="L25" s="78"/>
      <c r="M25" s="95"/>
      <c r="N25" s="74"/>
      <c r="O25" s="74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F25" s="74"/>
    </row>
    <row r="26" ht="15.75" customHeight="1">
      <c r="A26" s="98" t="s">
        <v>415</v>
      </c>
      <c r="B26" s="95" t="s">
        <v>416</v>
      </c>
      <c r="C26" s="95">
        <v>45.0</v>
      </c>
      <c r="D26" s="78"/>
      <c r="E26" s="78"/>
      <c r="F26" s="78"/>
      <c r="G26" s="78"/>
      <c r="H26" s="78"/>
      <c r="I26" s="78"/>
      <c r="J26" s="78"/>
      <c r="K26" s="78"/>
      <c r="L26" s="78"/>
      <c r="M26" s="95"/>
      <c r="N26" s="74"/>
      <c r="O26" s="74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F26" s="74"/>
    </row>
    <row r="27" ht="15.75" customHeight="1">
      <c r="A27" s="98" t="s">
        <v>417</v>
      </c>
      <c r="B27" s="95" t="s">
        <v>418</v>
      </c>
      <c r="C27" s="95">
        <v>60.0</v>
      </c>
      <c r="D27" s="78"/>
      <c r="E27" s="78"/>
      <c r="F27" s="78"/>
      <c r="G27" s="78"/>
      <c r="H27" s="78"/>
      <c r="I27" s="78"/>
      <c r="J27" s="78"/>
      <c r="K27" s="78"/>
      <c r="L27" s="78"/>
      <c r="M27" s="95"/>
      <c r="N27" s="74"/>
      <c r="O27" s="74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</row>
    <row r="28" ht="15.75" customHeight="1">
      <c r="A28" s="98" t="s">
        <v>419</v>
      </c>
      <c r="B28" s="114"/>
      <c r="C28" s="98">
        <v>10.0</v>
      </c>
      <c r="D28" s="78"/>
      <c r="E28" s="78"/>
      <c r="F28" s="78"/>
      <c r="G28" s="78"/>
      <c r="H28" s="78"/>
      <c r="I28" s="78"/>
      <c r="J28" s="78"/>
      <c r="K28" s="78"/>
      <c r="L28" s="78"/>
      <c r="M28" s="95"/>
      <c r="N28" s="74"/>
      <c r="O28" s="74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</row>
    <row r="29" ht="15.75" customHeight="1">
      <c r="A29" s="98" t="s">
        <v>420</v>
      </c>
      <c r="B29" s="98" t="s">
        <v>421</v>
      </c>
      <c r="C29" s="98">
        <v>100.0</v>
      </c>
      <c r="D29" s="78"/>
      <c r="E29" s="78"/>
      <c r="F29" s="78"/>
      <c r="G29" s="78"/>
      <c r="H29" s="78"/>
      <c r="I29" s="78"/>
      <c r="J29" s="78"/>
      <c r="K29" s="78"/>
      <c r="L29" s="78"/>
      <c r="M29" s="95"/>
      <c r="N29" s="74"/>
      <c r="O29" s="74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</row>
    <row r="30" ht="15.75" customHeight="1">
      <c r="A30" s="97" t="s">
        <v>190</v>
      </c>
      <c r="B30" s="7"/>
      <c r="C30" s="98">
        <v>40.0</v>
      </c>
      <c r="D30" s="78"/>
      <c r="E30" s="78"/>
      <c r="F30" s="78"/>
      <c r="G30" s="78"/>
      <c r="H30" s="78"/>
      <c r="I30" s="78"/>
      <c r="J30" s="78"/>
      <c r="K30" s="78"/>
      <c r="L30" s="78"/>
      <c r="M30" s="95"/>
      <c r="N30" s="74"/>
      <c r="O30" s="74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</row>
    <row r="31" ht="15.75" customHeight="1">
      <c r="A31" s="98" t="s">
        <v>229</v>
      </c>
      <c r="B31" s="98" t="s">
        <v>230</v>
      </c>
      <c r="C31" s="98">
        <v>1020.0</v>
      </c>
      <c r="D31" s="78"/>
      <c r="E31" s="78"/>
      <c r="F31" s="78"/>
      <c r="G31" s="78"/>
      <c r="H31" s="78"/>
      <c r="I31" s="78"/>
      <c r="J31" s="78"/>
      <c r="K31" s="78"/>
      <c r="L31" s="78"/>
      <c r="M31" s="95"/>
      <c r="N31" s="74"/>
      <c r="O31" s="74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</row>
    <row r="32" ht="15.75" customHeight="1">
      <c r="A32" s="98" t="s">
        <v>198</v>
      </c>
      <c r="B32" s="98" t="s">
        <v>422</v>
      </c>
      <c r="C32" s="98">
        <v>1370.0</v>
      </c>
      <c r="D32" s="78"/>
      <c r="E32" s="78"/>
      <c r="F32" s="78"/>
      <c r="G32" s="78"/>
      <c r="H32" s="78"/>
      <c r="I32" s="78"/>
      <c r="J32" s="78"/>
      <c r="K32" s="78"/>
      <c r="L32" s="78"/>
      <c r="M32" s="95"/>
      <c r="N32" s="74"/>
      <c r="O32" s="74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</row>
    <row r="33" ht="15.75" customHeight="1">
      <c r="A33" s="98" t="s">
        <v>337</v>
      </c>
      <c r="B33" s="98" t="s">
        <v>423</v>
      </c>
      <c r="C33" s="98">
        <v>720.0</v>
      </c>
      <c r="D33" s="78"/>
      <c r="E33" s="78"/>
      <c r="F33" s="78"/>
      <c r="G33" s="74"/>
      <c r="H33" s="74"/>
      <c r="I33" s="74"/>
      <c r="J33" s="78"/>
      <c r="K33" s="78"/>
      <c r="L33" s="78"/>
      <c r="M33" s="95"/>
      <c r="N33" s="74"/>
      <c r="O33" s="74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</row>
    <row r="34" ht="15.75" customHeight="1">
      <c r="A34" s="114"/>
      <c r="B34" s="114"/>
      <c r="C34" s="114"/>
      <c r="D34" s="74"/>
      <c r="E34" s="74"/>
      <c r="F34" s="74"/>
      <c r="G34" s="74"/>
      <c r="H34" s="74"/>
      <c r="I34" s="74"/>
      <c r="J34" s="78"/>
      <c r="K34" s="78"/>
      <c r="L34" s="78"/>
      <c r="M34" s="95"/>
      <c r="N34" s="74"/>
      <c r="O34" s="74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</row>
    <row r="35" ht="15.75" customHeight="1">
      <c r="A35" s="114"/>
      <c r="B35" s="114"/>
      <c r="C35" s="114"/>
      <c r="D35" s="74"/>
      <c r="E35" s="74"/>
      <c r="F35" s="74"/>
      <c r="G35" s="74"/>
      <c r="H35" s="74"/>
      <c r="I35" s="74"/>
      <c r="J35" s="78"/>
      <c r="K35" s="78"/>
      <c r="L35" s="78"/>
      <c r="M35" s="95"/>
      <c r="N35" s="74"/>
      <c r="O35" s="74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</row>
    <row r="36" ht="15.75" customHeight="1">
      <c r="A36" s="114"/>
      <c r="B36" s="114"/>
      <c r="C36" s="114"/>
      <c r="D36" s="74"/>
      <c r="E36" s="74"/>
      <c r="F36" s="74"/>
      <c r="G36" s="74"/>
      <c r="H36" s="74"/>
      <c r="I36" s="74"/>
      <c r="J36" s="78"/>
      <c r="K36" s="78"/>
      <c r="L36" s="78"/>
      <c r="M36" s="95"/>
      <c r="N36" s="74"/>
      <c r="O36" s="74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</row>
    <row r="37" ht="15.75" customHeight="1">
      <c r="A37" s="114"/>
      <c r="B37" s="114"/>
      <c r="C37" s="114"/>
      <c r="D37" s="74"/>
      <c r="E37" s="74"/>
      <c r="F37" s="74"/>
      <c r="G37" s="74"/>
      <c r="H37" s="74"/>
      <c r="I37" s="74"/>
      <c r="J37" s="78"/>
      <c r="K37" s="78"/>
      <c r="L37" s="78"/>
      <c r="M37" s="95"/>
      <c r="N37" s="74"/>
      <c r="O37" s="74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</row>
    <row r="38" ht="15.75" customHeight="1">
      <c r="A38" s="114"/>
      <c r="B38" s="114"/>
      <c r="C38" s="114"/>
      <c r="D38" s="74"/>
      <c r="E38" s="74"/>
      <c r="F38" s="74"/>
      <c r="G38" s="74"/>
      <c r="H38" s="74"/>
      <c r="I38" s="74"/>
      <c r="J38" s="78"/>
      <c r="K38" s="78"/>
      <c r="L38" s="78"/>
      <c r="M38" s="95"/>
      <c r="N38" s="74"/>
      <c r="O38" s="74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</row>
    <row r="39" ht="15.75" customHeight="1">
      <c r="A39" s="114"/>
      <c r="B39" s="114"/>
      <c r="C39" s="114"/>
      <c r="D39" s="74"/>
      <c r="E39" s="74"/>
      <c r="F39" s="74"/>
      <c r="G39" s="74"/>
      <c r="H39" s="74"/>
      <c r="I39" s="74"/>
      <c r="J39" s="78"/>
      <c r="K39" s="78"/>
      <c r="L39" s="78"/>
      <c r="M39" s="95"/>
      <c r="N39" s="74"/>
      <c r="O39" s="74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</row>
    <row r="40" ht="15.75" customHeight="1">
      <c r="A40" s="114"/>
      <c r="B40" s="114"/>
      <c r="C40" s="114"/>
      <c r="D40" s="74"/>
      <c r="E40" s="74"/>
      <c r="F40" s="74"/>
      <c r="G40" s="74"/>
      <c r="H40" s="74"/>
      <c r="I40" s="74"/>
      <c r="J40" s="78"/>
      <c r="K40" s="78"/>
      <c r="L40" s="78"/>
      <c r="M40" s="95"/>
      <c r="N40" s="74"/>
      <c r="O40" s="74"/>
      <c r="P40" s="78"/>
      <c r="Q40" s="78"/>
      <c r="R40" s="78"/>
      <c r="S40" s="78"/>
      <c r="T40" s="78"/>
      <c r="U40" s="78"/>
      <c r="V40" s="74"/>
      <c r="W40" s="74"/>
      <c r="X40" s="74"/>
      <c r="Y40" s="78"/>
      <c r="Z40" s="78"/>
      <c r="AA40" s="78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</row>
    <row r="41" ht="15.75" customHeight="1">
      <c r="A41" s="114"/>
      <c r="B41" s="114"/>
      <c r="C41" s="114"/>
      <c r="D41" s="74"/>
      <c r="E41" s="74"/>
      <c r="F41" s="74"/>
      <c r="G41" s="74"/>
      <c r="H41" s="74"/>
      <c r="I41" s="74"/>
      <c r="J41" s="78"/>
      <c r="K41" s="78"/>
      <c r="L41" s="78"/>
      <c r="M41" s="95"/>
      <c r="N41" s="74"/>
      <c r="O41" s="74"/>
      <c r="P41" s="78"/>
      <c r="Q41" s="78"/>
      <c r="R41" s="78"/>
      <c r="S41" s="78"/>
      <c r="T41" s="78"/>
      <c r="U41" s="78"/>
      <c r="V41" s="74"/>
      <c r="W41" s="74"/>
      <c r="X41" s="74"/>
      <c r="Y41" s="78"/>
      <c r="Z41" s="78"/>
      <c r="AA41" s="78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</row>
    <row r="42" ht="15.75" customHeight="1">
      <c r="A42" s="114"/>
      <c r="B42" s="114"/>
      <c r="C42" s="114"/>
      <c r="D42" s="74"/>
      <c r="E42" s="74"/>
      <c r="F42" s="74"/>
      <c r="G42" s="74"/>
      <c r="H42" s="74"/>
      <c r="I42" s="74"/>
      <c r="J42" s="78"/>
      <c r="K42" s="78"/>
      <c r="L42" s="78"/>
      <c r="M42" s="95"/>
      <c r="N42" s="74"/>
      <c r="O42" s="74"/>
      <c r="P42" s="78"/>
      <c r="Q42" s="78"/>
      <c r="R42" s="78"/>
      <c r="S42" s="78"/>
      <c r="T42" s="78"/>
      <c r="U42" s="78"/>
      <c r="V42" s="74"/>
      <c r="W42" s="74"/>
      <c r="X42" s="74"/>
      <c r="Y42" s="78"/>
      <c r="Z42" s="78"/>
      <c r="AA42" s="78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</row>
    <row r="43" ht="15.75" customHeight="1">
      <c r="A43" s="114"/>
      <c r="B43" s="114"/>
      <c r="C43" s="114"/>
      <c r="D43" s="74"/>
      <c r="E43" s="74"/>
      <c r="F43" s="74"/>
      <c r="G43" s="74"/>
      <c r="H43" s="74"/>
      <c r="I43" s="74"/>
      <c r="J43" s="78"/>
      <c r="K43" s="78"/>
      <c r="L43" s="78"/>
      <c r="M43" s="95"/>
      <c r="N43" s="74"/>
      <c r="O43" s="74"/>
      <c r="P43" s="78"/>
      <c r="Q43" s="78"/>
      <c r="R43" s="78"/>
      <c r="S43" s="78"/>
      <c r="T43" s="78"/>
      <c r="U43" s="78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</row>
    <row r="44" ht="15.75" customHeight="1">
      <c r="A44" s="114"/>
      <c r="B44" s="114"/>
      <c r="C44" s="114"/>
      <c r="D44" s="74"/>
      <c r="E44" s="74"/>
      <c r="F44" s="74"/>
      <c r="G44" s="74"/>
      <c r="H44" s="74"/>
      <c r="I44" s="74"/>
      <c r="J44" s="78"/>
      <c r="K44" s="78"/>
      <c r="L44" s="78"/>
      <c r="M44" s="95"/>
      <c r="N44" s="74"/>
      <c r="O44" s="74"/>
      <c r="P44" s="78"/>
      <c r="Q44" s="78"/>
      <c r="R44" s="78"/>
      <c r="S44" s="78"/>
      <c r="T44" s="78"/>
      <c r="U44" s="78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</row>
    <row r="45" ht="15.75" customHeight="1">
      <c r="A45" s="114"/>
      <c r="B45" s="114"/>
      <c r="C45" s="114"/>
      <c r="D45" s="74"/>
      <c r="E45" s="74"/>
      <c r="F45" s="74"/>
      <c r="G45" s="74"/>
      <c r="H45" s="74"/>
      <c r="I45" s="74"/>
      <c r="J45" s="78"/>
      <c r="K45" s="78"/>
      <c r="L45" s="78"/>
      <c r="M45" s="95"/>
      <c r="N45" s="74"/>
      <c r="O45" s="74"/>
      <c r="P45" s="78"/>
      <c r="Q45" s="78"/>
      <c r="R45" s="78"/>
      <c r="S45" s="78"/>
      <c r="T45" s="78"/>
      <c r="U45" s="78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</row>
    <row r="46" ht="15.75" customHeight="1">
      <c r="A46" s="114"/>
      <c r="B46" s="114"/>
      <c r="C46" s="114"/>
      <c r="D46" s="74"/>
      <c r="E46" s="74"/>
      <c r="F46" s="74"/>
      <c r="G46" s="74"/>
      <c r="H46" s="74"/>
      <c r="I46" s="74"/>
      <c r="J46" s="78"/>
      <c r="K46" s="78"/>
      <c r="L46" s="78"/>
      <c r="M46" s="95"/>
      <c r="N46" s="74"/>
      <c r="O46" s="74"/>
      <c r="P46" s="74"/>
      <c r="Q46" s="74"/>
      <c r="R46" s="74"/>
      <c r="S46" s="78"/>
      <c r="T46" s="78"/>
      <c r="U46" s="78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</row>
    <row r="47" ht="15.75" customHeight="1">
      <c r="A47" s="114"/>
      <c r="B47" s="114"/>
      <c r="C47" s="114"/>
      <c r="D47" s="74"/>
      <c r="E47" s="74"/>
      <c r="F47" s="74"/>
      <c r="G47" s="74"/>
      <c r="H47" s="74"/>
      <c r="I47" s="74"/>
      <c r="J47" s="78"/>
      <c r="K47" s="78"/>
      <c r="L47" s="78"/>
      <c r="M47" s="95"/>
      <c r="N47" s="74"/>
      <c r="O47" s="74"/>
      <c r="P47" s="74"/>
      <c r="Q47" s="74"/>
      <c r="R47" s="74"/>
      <c r="S47" s="78"/>
      <c r="T47" s="78"/>
      <c r="U47" s="78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</row>
    <row r="48" ht="15.75" customHeight="1">
      <c r="A48" s="114"/>
      <c r="B48" s="114"/>
      <c r="C48" s="114"/>
      <c r="D48" s="74"/>
      <c r="E48" s="74"/>
      <c r="F48" s="74"/>
      <c r="G48" s="74"/>
      <c r="H48" s="74"/>
      <c r="I48" s="74"/>
      <c r="J48" s="78"/>
      <c r="K48" s="78"/>
      <c r="L48" s="78"/>
      <c r="M48" s="95"/>
      <c r="N48" s="74"/>
      <c r="O48" s="74"/>
      <c r="P48" s="74"/>
      <c r="Q48" s="74"/>
      <c r="R48" s="74"/>
      <c r="S48" s="78"/>
      <c r="T48" s="78"/>
      <c r="U48" s="78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</row>
    <row r="49" ht="15.75" customHeight="1">
      <c r="A49" s="114"/>
      <c r="B49" s="114"/>
      <c r="C49" s="114"/>
      <c r="D49" s="74"/>
      <c r="E49" s="74"/>
      <c r="F49" s="74"/>
      <c r="G49" s="74"/>
      <c r="H49" s="74"/>
      <c r="I49" s="74"/>
      <c r="J49" s="78"/>
      <c r="K49" s="78"/>
      <c r="L49" s="78"/>
      <c r="M49" s="95"/>
      <c r="N49" s="74"/>
      <c r="O49" s="74"/>
      <c r="P49" s="74"/>
      <c r="Q49" s="74"/>
      <c r="R49" s="74"/>
      <c r="S49" s="78"/>
      <c r="T49" s="78"/>
      <c r="U49" s="78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</row>
    <row r="50" ht="15.75" customHeight="1">
      <c r="A50" s="114"/>
      <c r="B50" s="114"/>
      <c r="C50" s="114"/>
      <c r="D50" s="74"/>
      <c r="E50" s="74"/>
      <c r="F50" s="74"/>
      <c r="G50" s="74"/>
      <c r="H50" s="74"/>
      <c r="I50" s="74"/>
      <c r="J50" s="78"/>
      <c r="K50" s="78"/>
      <c r="L50" s="78"/>
      <c r="M50" s="95"/>
      <c r="N50" s="74"/>
      <c r="O50" s="74"/>
      <c r="P50" s="74"/>
      <c r="Q50" s="74"/>
      <c r="R50" s="74"/>
      <c r="S50" s="78"/>
      <c r="T50" s="78"/>
      <c r="U50" s="78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</row>
    <row r="51" ht="15.75" customHeight="1">
      <c r="A51" s="114"/>
      <c r="B51" s="114"/>
      <c r="C51" s="114"/>
      <c r="D51" s="74"/>
      <c r="E51" s="74"/>
      <c r="F51" s="74"/>
      <c r="G51" s="74"/>
      <c r="H51" s="74"/>
      <c r="I51" s="74"/>
      <c r="J51" s="74"/>
      <c r="K51" s="74"/>
      <c r="L51" s="74"/>
      <c r="M51" s="95"/>
      <c r="N51" s="74"/>
      <c r="O51" s="74"/>
      <c r="P51" s="74"/>
      <c r="Q51" s="74"/>
      <c r="R51" s="74"/>
      <c r="S51" s="78"/>
      <c r="T51" s="78"/>
      <c r="U51" s="78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</row>
    <row r="52" ht="15.75" customHeight="1">
      <c r="A52" s="114"/>
      <c r="B52" s="114"/>
      <c r="C52" s="114"/>
      <c r="D52" s="74"/>
      <c r="E52" s="74"/>
      <c r="F52" s="74"/>
      <c r="G52" s="74"/>
      <c r="H52" s="74"/>
      <c r="I52" s="74"/>
      <c r="J52" s="74"/>
      <c r="K52" s="74"/>
      <c r="L52" s="74"/>
      <c r="M52" s="95"/>
      <c r="N52" s="74"/>
      <c r="O52" s="74"/>
      <c r="P52" s="74"/>
      <c r="Q52" s="74"/>
      <c r="R52" s="74"/>
      <c r="S52" s="78"/>
      <c r="T52" s="78"/>
      <c r="U52" s="78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</row>
    <row r="53" ht="15.75" customHeight="1">
      <c r="A53" s="114"/>
      <c r="B53" s="114"/>
      <c r="C53" s="114"/>
      <c r="D53" s="74"/>
      <c r="E53" s="74"/>
      <c r="F53" s="74"/>
      <c r="G53" s="74"/>
      <c r="H53" s="74"/>
      <c r="I53" s="74"/>
      <c r="J53" s="74"/>
      <c r="K53" s="74"/>
      <c r="L53" s="74"/>
      <c r="M53" s="95"/>
      <c r="N53" s="74"/>
      <c r="O53" s="74"/>
      <c r="P53" s="74"/>
      <c r="Q53" s="74"/>
      <c r="R53" s="74"/>
      <c r="S53" s="78"/>
      <c r="T53" s="78"/>
      <c r="U53" s="78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</row>
    <row r="54" ht="15.75" customHeight="1">
      <c r="A54" s="114"/>
      <c r="B54" s="114"/>
      <c r="C54" s="114"/>
      <c r="D54" s="74"/>
      <c r="E54" s="74"/>
      <c r="F54" s="74"/>
      <c r="G54" s="74"/>
      <c r="H54" s="74"/>
      <c r="I54" s="74"/>
      <c r="J54" s="74"/>
      <c r="K54" s="74"/>
      <c r="L54" s="74"/>
      <c r="M54" s="95"/>
      <c r="N54" s="74"/>
      <c r="O54" s="74"/>
      <c r="P54" s="74"/>
      <c r="Q54" s="74"/>
      <c r="R54" s="74"/>
      <c r="S54" s="78"/>
      <c r="T54" s="78"/>
      <c r="U54" s="78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</row>
    <row r="55" ht="15.75" customHeight="1">
      <c r="A55" s="114"/>
      <c r="B55" s="114"/>
      <c r="C55" s="114"/>
      <c r="D55" s="74"/>
      <c r="E55" s="74"/>
      <c r="F55" s="74"/>
      <c r="G55" s="74"/>
      <c r="H55" s="74"/>
      <c r="I55" s="74"/>
      <c r="J55" s="74"/>
      <c r="K55" s="74"/>
      <c r="L55" s="74"/>
      <c r="M55" s="95"/>
      <c r="N55" s="74"/>
      <c r="O55" s="74"/>
      <c r="P55" s="74"/>
      <c r="Q55" s="74"/>
      <c r="R55" s="74"/>
      <c r="S55" s="78"/>
      <c r="T55" s="78"/>
      <c r="U55" s="78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</row>
    <row r="56" ht="15.75" customHeight="1">
      <c r="A56" s="114"/>
      <c r="B56" s="114"/>
      <c r="C56" s="114"/>
      <c r="D56" s="74"/>
      <c r="E56" s="74"/>
      <c r="F56" s="74"/>
      <c r="G56" s="74"/>
      <c r="H56" s="74"/>
      <c r="I56" s="74"/>
      <c r="J56" s="74"/>
      <c r="K56" s="74"/>
      <c r="L56" s="74"/>
      <c r="M56" s="95"/>
      <c r="N56" s="74"/>
      <c r="O56" s="74"/>
      <c r="P56" s="74"/>
      <c r="Q56" s="74"/>
      <c r="R56" s="74"/>
      <c r="S56" s="78"/>
      <c r="T56" s="78"/>
      <c r="U56" s="78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</row>
    <row r="57" ht="15.75" customHeight="1">
      <c r="A57" s="114"/>
      <c r="B57" s="114"/>
      <c r="C57" s="114"/>
      <c r="D57" s="74"/>
      <c r="E57" s="74"/>
      <c r="F57" s="74"/>
      <c r="G57" s="74"/>
      <c r="H57" s="74"/>
      <c r="I57" s="74"/>
      <c r="J57" s="74"/>
      <c r="K57" s="74"/>
      <c r="L57" s="74"/>
      <c r="M57" s="95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</row>
    <row r="58" ht="15.75" customHeight="1">
      <c r="A58" s="114"/>
      <c r="B58" s="114"/>
      <c r="C58" s="114"/>
      <c r="D58" s="74"/>
      <c r="E58" s="74"/>
      <c r="F58" s="74"/>
      <c r="G58" s="74"/>
      <c r="H58" s="74"/>
      <c r="I58" s="74"/>
      <c r="J58" s="74"/>
      <c r="K58" s="74"/>
      <c r="L58" s="74"/>
      <c r="M58" s="95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</row>
    <row r="59" ht="15.75" customHeight="1">
      <c r="A59" s="114"/>
      <c r="B59" s="114"/>
      <c r="C59" s="114"/>
      <c r="D59" s="74"/>
      <c r="E59" s="74"/>
      <c r="F59" s="74"/>
      <c r="G59" s="74"/>
      <c r="H59" s="74"/>
      <c r="I59" s="74"/>
      <c r="J59" s="74"/>
      <c r="K59" s="74"/>
      <c r="L59" s="74"/>
      <c r="M59" s="95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</row>
    <row r="60" ht="15.75" customHeight="1">
      <c r="A60" s="114"/>
      <c r="B60" s="114"/>
      <c r="C60" s="114"/>
      <c r="D60" s="74"/>
      <c r="E60" s="74"/>
      <c r="F60" s="74"/>
      <c r="G60" s="74"/>
      <c r="H60" s="74"/>
      <c r="I60" s="74"/>
      <c r="J60" s="74"/>
      <c r="K60" s="74"/>
      <c r="L60" s="74"/>
      <c r="M60" s="95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</row>
    <row r="61" ht="15.75" customHeight="1">
      <c r="A61" s="114"/>
      <c r="B61" s="114"/>
      <c r="C61" s="114"/>
      <c r="D61" s="74"/>
      <c r="E61" s="74"/>
      <c r="F61" s="74"/>
      <c r="G61" s="74"/>
      <c r="H61" s="74"/>
      <c r="I61" s="74"/>
      <c r="J61" s="74"/>
      <c r="K61" s="74"/>
      <c r="L61" s="74"/>
      <c r="M61" s="95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</row>
    <row r="62" ht="15.75" customHeight="1">
      <c r="A62" s="114"/>
      <c r="B62" s="114"/>
      <c r="C62" s="11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</row>
    <row r="63" ht="15.75" customHeight="1">
      <c r="A63" s="114"/>
      <c r="B63" s="114"/>
      <c r="C63" s="11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</row>
    <row r="64" ht="15.75" customHeight="1">
      <c r="A64" s="114"/>
      <c r="B64" s="114"/>
      <c r="C64" s="11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</row>
  </sheetData>
  <mergeCells count="83">
    <mergeCell ref="BI4:BJ4"/>
    <mergeCell ref="BL4:BM4"/>
    <mergeCell ref="CD18:CE18"/>
    <mergeCell ref="AZ4:BA4"/>
    <mergeCell ref="AZ6:BB15"/>
    <mergeCell ref="AN4:AO4"/>
    <mergeCell ref="AQ4:AR4"/>
    <mergeCell ref="AT4:AU4"/>
    <mergeCell ref="AW4:AX4"/>
    <mergeCell ref="BC4:BD4"/>
    <mergeCell ref="BF4:BG4"/>
    <mergeCell ref="AQ6:AS13"/>
    <mergeCell ref="A1:B1"/>
    <mergeCell ref="E1:F1"/>
    <mergeCell ref="I1:J1"/>
    <mergeCell ref="M1:N1"/>
    <mergeCell ref="E2:F2"/>
    <mergeCell ref="D3:F3"/>
    <mergeCell ref="M3:O3"/>
    <mergeCell ref="P4:Q4"/>
    <mergeCell ref="V6:X18"/>
    <mergeCell ref="Y8:Z8"/>
    <mergeCell ref="P10:Q10"/>
    <mergeCell ref="Y10:Z10"/>
    <mergeCell ref="A3:C3"/>
    <mergeCell ref="A4:B4"/>
    <mergeCell ref="D4:E4"/>
    <mergeCell ref="J4:K4"/>
    <mergeCell ref="M4:N4"/>
    <mergeCell ref="A6:B6"/>
    <mergeCell ref="A7:B7"/>
    <mergeCell ref="J17:K17"/>
    <mergeCell ref="D18:E18"/>
    <mergeCell ref="A19:B19"/>
    <mergeCell ref="D19:E19"/>
    <mergeCell ref="A30:B30"/>
    <mergeCell ref="J6:K6"/>
    <mergeCell ref="G8:H8"/>
    <mergeCell ref="J8:K8"/>
    <mergeCell ref="G9:H9"/>
    <mergeCell ref="J9:K9"/>
    <mergeCell ref="G10:H10"/>
    <mergeCell ref="M13:N13"/>
    <mergeCell ref="G3:I3"/>
    <mergeCell ref="J3:L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CD3:CF3"/>
    <mergeCell ref="S4:T4"/>
    <mergeCell ref="V4:W4"/>
    <mergeCell ref="Y4:Z4"/>
    <mergeCell ref="AB4:AC4"/>
    <mergeCell ref="AE4:AF4"/>
    <mergeCell ref="AH4:AI4"/>
    <mergeCell ref="AK4:AL4"/>
    <mergeCell ref="BO4:BP4"/>
    <mergeCell ref="BR4:BS4"/>
    <mergeCell ref="BU4:BV4"/>
    <mergeCell ref="BX4:BY4"/>
    <mergeCell ref="CA4:CB4"/>
    <mergeCell ref="CD4:CE4"/>
    <mergeCell ref="AZ3:BB3"/>
    <mergeCell ref="BC3:BE3"/>
    <mergeCell ref="BF3:BH3"/>
    <mergeCell ref="BI3:BK3"/>
    <mergeCell ref="BL3:BN3"/>
    <mergeCell ref="BO3:BQ3"/>
    <mergeCell ref="BR3:BT3"/>
    <mergeCell ref="G4:H4"/>
    <mergeCell ref="G6:H6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3.13"/>
    <col customWidth="1" min="2" max="2" width="9.5"/>
    <col customWidth="1" min="3" max="3" width="11.88"/>
    <col customWidth="1" min="4" max="4" width="11.63"/>
    <col customWidth="1" min="5" max="5" width="12.25"/>
    <col customWidth="1" min="6" max="6" width="15.25"/>
    <col customWidth="1" min="7" max="8" width="15.13"/>
    <col customWidth="1" min="9" max="9" width="9.88"/>
    <col customWidth="1" min="10" max="10" width="10.75"/>
    <col customWidth="1" min="11" max="11" width="15.0"/>
  </cols>
  <sheetData>
    <row r="1">
      <c r="A1" s="115" t="s">
        <v>424</v>
      </c>
      <c r="B1" s="116">
        <f>SUMIF(K8:K71, "&gt;0")</f>
        <v>0</v>
      </c>
      <c r="C1" s="117"/>
      <c r="D1" s="115" t="s">
        <v>425</v>
      </c>
      <c r="E1" s="118">
        <f>SUMIF(K8:K71, "&lt;0")</f>
        <v>0</v>
      </c>
      <c r="F1" s="117"/>
      <c r="H1" s="119"/>
      <c r="I1" s="120" t="s">
        <v>426</v>
      </c>
      <c r="J1" s="7"/>
      <c r="K1" s="121" t="str">
        <f>sum(K6+K4)</f>
        <v>#REF!</v>
      </c>
      <c r="L1" s="122"/>
    </row>
    <row r="2">
      <c r="A2" s="123" t="s">
        <v>0</v>
      </c>
      <c r="B2" s="123" t="s">
        <v>1</v>
      </c>
      <c r="C2" s="123" t="s">
        <v>4</v>
      </c>
      <c r="D2" s="123" t="s">
        <v>427</v>
      </c>
      <c r="E2" s="123" t="s">
        <v>428</v>
      </c>
      <c r="F2" s="123" t="s">
        <v>174</v>
      </c>
      <c r="G2" s="123" t="s">
        <v>429</v>
      </c>
      <c r="H2" s="123" t="s">
        <v>430</v>
      </c>
      <c r="I2" s="123" t="s">
        <v>431</v>
      </c>
      <c r="J2" s="124" t="s">
        <v>432</v>
      </c>
      <c r="K2" s="124" t="s">
        <v>433</v>
      </c>
      <c r="L2" s="123" t="s">
        <v>434</v>
      </c>
    </row>
    <row r="3">
      <c r="A3" s="125" t="s">
        <v>435</v>
      </c>
      <c r="B3" s="126"/>
      <c r="C3" s="127"/>
      <c r="D3" s="128">
        <f>IFERROR(__xludf.DUMMYFUNCTION("IMPORTRANGE(""https://docs.google.com/spreadsheets/d/1s4GIn77ozPYLkviTGY9JZwFiP83CdAjzj1034nd0cVM/edit?gid=0#gid=0"", ""cash_flow!d1"")"),163205.0)</f>
        <v>163205</v>
      </c>
      <c r="E3" s="125" t="s">
        <v>436</v>
      </c>
      <c r="F3" s="126"/>
      <c r="G3" s="127"/>
      <c r="H3" s="129" t="str">
        <f>IFERROR(__xludf.DUMMYFUNCTION("IMPORTRANGE(""https://docs.google.com/spreadsheets/d/1lwD3A6F0_CU3I2E_oPvBnOzKHK_PmObSat5PPUT-Bc4/edit?gid=214811325#gid=214811325"",""meal_cost!g1"")"),"#REF!")</f>
        <v>#REF!</v>
      </c>
      <c r="I3" s="130"/>
      <c r="J3" s="130"/>
      <c r="K3" s="130"/>
      <c r="L3" s="130"/>
    </row>
    <row r="4">
      <c r="A4" s="131"/>
      <c r="B4" s="132"/>
      <c r="C4" s="133"/>
      <c r="D4" s="134"/>
      <c r="E4" s="131"/>
      <c r="F4" s="132"/>
      <c r="G4" s="133"/>
      <c r="H4" s="134"/>
      <c r="I4" s="135" t="s">
        <v>437</v>
      </c>
      <c r="J4" s="136"/>
      <c r="K4" s="137" t="str">
        <f>SUMPRODUCT((K7:K70&gt;9)*ABS(K7:K70)*(L7:L70&lt;&gt;""))</f>
        <v>#REF!</v>
      </c>
      <c r="L4" s="138"/>
    </row>
    <row r="5">
      <c r="A5" s="125" t="s">
        <v>438</v>
      </c>
      <c r="B5" s="126"/>
      <c r="C5" s="127"/>
      <c r="D5" s="139" t="str">
        <f>SUM(H3/H5)</f>
        <v>#REF!</v>
      </c>
      <c r="E5" s="125" t="s">
        <v>439</v>
      </c>
      <c r="F5" s="126"/>
      <c r="G5" s="127"/>
      <c r="H5" s="129">
        <f>IFERROR(__xludf.DUMMYFUNCTION("IMPORTRANGE(""https://docs.google.com/spreadsheets/d/1fcNkJZbv3x4pvwWWH2-A5i2kZk1X5CwnTUf0Drckuwo/edit?gid=1463191605#gid=1463191605"",""meal!h3"")"),3323.5)</f>
        <v>3323.5</v>
      </c>
      <c r="I5" s="130"/>
      <c r="J5" s="130"/>
      <c r="K5" s="130"/>
      <c r="L5" s="130"/>
    </row>
    <row r="6">
      <c r="A6" s="131"/>
      <c r="B6" s="132"/>
      <c r="C6" s="133"/>
      <c r="D6" s="134"/>
      <c r="E6" s="131"/>
      <c r="F6" s="132"/>
      <c r="G6" s="133"/>
      <c r="H6" s="134"/>
      <c r="I6" s="138"/>
      <c r="J6" s="138" t="s">
        <v>440</v>
      </c>
      <c r="K6" s="140" t="str">
        <f>SUM(K7:K70)</f>
        <v>#REF!</v>
      </c>
      <c r="L6" s="138"/>
    </row>
    <row r="7">
      <c r="A7" s="141"/>
      <c r="B7" s="141"/>
      <c r="C7" s="141"/>
      <c r="D7" s="142"/>
      <c r="E7" s="141"/>
      <c r="F7" s="141"/>
      <c r="G7" s="141"/>
      <c r="H7" s="141"/>
      <c r="I7" s="141"/>
      <c r="J7" s="141"/>
      <c r="K7" s="143"/>
      <c r="L7" s="141"/>
    </row>
    <row r="8">
      <c r="A8" s="144" t="s">
        <v>14</v>
      </c>
      <c r="B8" s="144">
        <v>201.0</v>
      </c>
      <c r="C8" s="145">
        <f>IFERROR(__xludf.DUMMYFUNCTION("IMPORTRANGE(""https://docs.google.com/spreadsheets/d/1s4GIn77ozPYLkviTGY9JZwFiP83CdAjzj1034nd0cVM/edit?gid=0#gid=0"",""cash_flow!d3:d36"")"),3000.0)</f>
        <v>3000</v>
      </c>
      <c r="D8" s="138">
        <v>385.0</v>
      </c>
      <c r="E8" s="145">
        <f>IFERROR(__xludf.DUMMYFUNCTION("IMPORTRANGE(""https://docs.google.com/spreadsheets/d/1s4GIn77ozPYLkviTGY9JZwFiP83CdAjzj1034nd0cVM/edit?gid=0#gid=0"",""cash_flow!c3:c36"")"),60.0)</f>
        <v>60</v>
      </c>
      <c r="F8" s="146" t="str">
        <f t="shared" ref="F8:F68" si="1">sum(E8*$D$5)</f>
        <v>#REF!</v>
      </c>
      <c r="G8" s="146" t="str">
        <f t="shared" ref="G8:G68" si="2">sum(F8+D8)</f>
        <v>#REF!</v>
      </c>
      <c r="H8" s="146" t="str">
        <f t="shared" ref="H8:H68" si="3">sum(C8-(D8+F8))</f>
        <v>#REF!</v>
      </c>
      <c r="I8" s="138">
        <v>264.0</v>
      </c>
      <c r="J8" s="145"/>
      <c r="K8" s="145" t="str">
        <f t="shared" ref="K8:K68" si="4">sum(H8-I8+J8)</f>
        <v>#REF!</v>
      </c>
      <c r="L8" s="138" t="s">
        <v>441</v>
      </c>
    </row>
    <row r="9">
      <c r="A9" s="147" t="s">
        <v>18</v>
      </c>
      <c r="B9" s="147">
        <v>202.0</v>
      </c>
      <c r="C9" s="148">
        <f>IFERROR(__xludf.DUMMYFUNCTION("""COMPUTED_VALUE"""),3000.0)</f>
        <v>3000</v>
      </c>
      <c r="D9" s="130">
        <v>385.0</v>
      </c>
      <c r="E9" s="148">
        <f>IFERROR(__xludf.DUMMYFUNCTION("""COMPUTED_VALUE"""),71.0)</f>
        <v>71</v>
      </c>
      <c r="F9" s="149" t="str">
        <f t="shared" si="1"/>
        <v>#REF!</v>
      </c>
      <c r="G9" s="149" t="str">
        <f t="shared" si="2"/>
        <v>#REF!</v>
      </c>
      <c r="H9" s="149" t="str">
        <f t="shared" si="3"/>
        <v>#REF!</v>
      </c>
      <c r="I9" s="130"/>
      <c r="J9" s="130">
        <v>168.0</v>
      </c>
      <c r="K9" s="148" t="str">
        <f t="shared" si="4"/>
        <v>#REF!</v>
      </c>
      <c r="L9" s="130" t="s">
        <v>441</v>
      </c>
    </row>
    <row r="10">
      <c r="A10" s="144" t="s">
        <v>21</v>
      </c>
      <c r="B10" s="144">
        <v>202.0</v>
      </c>
      <c r="C10" s="145">
        <f>IFERROR(__xludf.DUMMYFUNCTION("""COMPUTED_VALUE"""),3000.0)</f>
        <v>3000</v>
      </c>
      <c r="D10" s="138">
        <v>385.0</v>
      </c>
      <c r="E10" s="145">
        <f>IFERROR(__xludf.DUMMYFUNCTION("""COMPUTED_VALUE"""),63.5)</f>
        <v>63.5</v>
      </c>
      <c r="F10" s="146" t="str">
        <f t="shared" si="1"/>
        <v>#REF!</v>
      </c>
      <c r="G10" s="146" t="str">
        <f t="shared" si="2"/>
        <v>#REF!</v>
      </c>
      <c r="H10" s="146" t="str">
        <f t="shared" si="3"/>
        <v>#REF!</v>
      </c>
      <c r="I10" s="138">
        <v>126.0</v>
      </c>
      <c r="J10" s="145"/>
      <c r="K10" s="145" t="str">
        <f t="shared" si="4"/>
        <v>#REF!</v>
      </c>
      <c r="L10" s="138" t="s">
        <v>441</v>
      </c>
    </row>
    <row r="11">
      <c r="A11" s="147" t="s">
        <v>23</v>
      </c>
      <c r="B11" s="147">
        <v>203.0</v>
      </c>
      <c r="C11" s="148">
        <f>IFERROR(__xludf.DUMMYFUNCTION("""COMPUTED_VALUE"""),3000.0)</f>
        <v>3000</v>
      </c>
      <c r="D11" s="130">
        <v>385.0</v>
      </c>
      <c r="E11" s="148">
        <f>IFERROR(__xludf.DUMMYFUNCTION("""COMPUTED_VALUE"""),71.5)</f>
        <v>71.5</v>
      </c>
      <c r="F11" s="149" t="str">
        <f t="shared" si="1"/>
        <v>#REF!</v>
      </c>
      <c r="G11" s="149" t="str">
        <f t="shared" si="2"/>
        <v>#REF!</v>
      </c>
      <c r="H11" s="149" t="str">
        <f t="shared" si="3"/>
        <v>#REF!</v>
      </c>
      <c r="I11" s="148"/>
      <c r="J11" s="130">
        <v>187.0</v>
      </c>
      <c r="K11" s="148" t="str">
        <f t="shared" si="4"/>
        <v>#REF!</v>
      </c>
      <c r="L11" s="130" t="s">
        <v>441</v>
      </c>
    </row>
    <row r="12">
      <c r="A12" s="144" t="s">
        <v>26</v>
      </c>
      <c r="B12" s="144">
        <v>203.0</v>
      </c>
      <c r="C12" s="145">
        <f>IFERROR(__xludf.DUMMYFUNCTION("""COMPUTED_VALUE"""),3280.0)</f>
        <v>3280</v>
      </c>
      <c r="D12" s="138">
        <v>385.0</v>
      </c>
      <c r="E12" s="145">
        <f>IFERROR(__xludf.DUMMYFUNCTION("""COMPUTED_VALUE"""),74.0)</f>
        <v>74</v>
      </c>
      <c r="F12" s="146" t="str">
        <f t="shared" si="1"/>
        <v>#REF!</v>
      </c>
      <c r="G12" s="146" t="str">
        <f t="shared" si="2"/>
        <v>#REF!</v>
      </c>
      <c r="H12" s="146" t="str">
        <f t="shared" si="3"/>
        <v>#REF!</v>
      </c>
      <c r="I12" s="145"/>
      <c r="J12" s="138">
        <v>5.0</v>
      </c>
      <c r="K12" s="145" t="str">
        <f t="shared" si="4"/>
        <v>#REF!</v>
      </c>
      <c r="L12" s="138" t="s">
        <v>441</v>
      </c>
    </row>
    <row r="13">
      <c r="A13" s="147" t="s">
        <v>29</v>
      </c>
      <c r="B13" s="147">
        <v>206.0</v>
      </c>
      <c r="C13" s="148">
        <f>IFERROR(__xludf.DUMMYFUNCTION("""COMPUTED_VALUE"""),2700.0)</f>
        <v>2700</v>
      </c>
      <c r="D13" s="130">
        <v>385.0</v>
      </c>
      <c r="E13" s="148">
        <f>IFERROR(__xludf.DUMMYFUNCTION("""COMPUTED_VALUE"""),62.5)</f>
        <v>62.5</v>
      </c>
      <c r="F13" s="149" t="str">
        <f t="shared" si="1"/>
        <v>#REF!</v>
      </c>
      <c r="G13" s="149" t="str">
        <f t="shared" si="2"/>
        <v>#REF!</v>
      </c>
      <c r="H13" s="149" t="str">
        <f t="shared" si="3"/>
        <v>#REF!</v>
      </c>
      <c r="I13" s="148"/>
      <c r="J13" s="130">
        <v>134.0</v>
      </c>
      <c r="K13" s="148" t="str">
        <f t="shared" si="4"/>
        <v>#REF!</v>
      </c>
      <c r="L13" s="130" t="s">
        <v>441</v>
      </c>
    </row>
    <row r="14">
      <c r="A14" s="144" t="s">
        <v>32</v>
      </c>
      <c r="B14" s="144">
        <v>206.0</v>
      </c>
      <c r="C14" s="145">
        <f>IFERROR(__xludf.DUMMYFUNCTION("""COMPUTED_VALUE"""),3500.0)</f>
        <v>3500</v>
      </c>
      <c r="D14" s="138">
        <v>385.0</v>
      </c>
      <c r="E14" s="145">
        <f>IFERROR(__xludf.DUMMYFUNCTION("""COMPUTED_VALUE"""),70.0)</f>
        <v>70</v>
      </c>
      <c r="F14" s="146" t="str">
        <f t="shared" si="1"/>
        <v>#REF!</v>
      </c>
      <c r="G14" s="146" t="str">
        <f t="shared" si="2"/>
        <v>#REF!</v>
      </c>
      <c r="H14" s="146" t="str">
        <f t="shared" si="3"/>
        <v>#REF!</v>
      </c>
      <c r="I14" s="138">
        <v>372.0</v>
      </c>
      <c r="J14" s="145"/>
      <c r="K14" s="145" t="str">
        <f t="shared" si="4"/>
        <v>#REF!</v>
      </c>
      <c r="L14" s="138" t="s">
        <v>441</v>
      </c>
    </row>
    <row r="15">
      <c r="A15" s="147" t="s">
        <v>35</v>
      </c>
      <c r="B15" s="147">
        <v>206.0</v>
      </c>
      <c r="C15" s="148">
        <f>IFERROR(__xludf.DUMMYFUNCTION("""COMPUTED_VALUE"""),2000.0)</f>
        <v>2000</v>
      </c>
      <c r="D15" s="130">
        <v>385.0</v>
      </c>
      <c r="E15" s="148">
        <f>IFERROR(__xludf.DUMMYFUNCTION("""COMPUTED_VALUE"""),34.5)</f>
        <v>34.5</v>
      </c>
      <c r="F15" s="149" t="str">
        <f t="shared" si="1"/>
        <v>#REF!</v>
      </c>
      <c r="G15" s="149" t="str">
        <f t="shared" si="2"/>
        <v>#REF!</v>
      </c>
      <c r="H15" s="149" t="str">
        <f t="shared" si="3"/>
        <v>#REF!</v>
      </c>
      <c r="I15" s="130">
        <v>263.0</v>
      </c>
      <c r="J15" s="148"/>
      <c r="K15" s="148" t="str">
        <f t="shared" si="4"/>
        <v>#REF!</v>
      </c>
      <c r="L15" s="130" t="s">
        <v>441</v>
      </c>
    </row>
    <row r="16">
      <c r="A16" s="144" t="s">
        <v>38</v>
      </c>
      <c r="B16" s="144">
        <v>207.0</v>
      </c>
      <c r="C16" s="145">
        <f>IFERROR(__xludf.DUMMYFUNCTION("""COMPUTED_VALUE"""),2900.0)</f>
        <v>2900</v>
      </c>
      <c r="D16" s="138">
        <v>385.0</v>
      </c>
      <c r="E16" s="145">
        <f>IFERROR(__xludf.DUMMYFUNCTION("""COMPUTED_VALUE"""),53.0)</f>
        <v>53</v>
      </c>
      <c r="F16" s="146" t="str">
        <f t="shared" si="1"/>
        <v>#REF!</v>
      </c>
      <c r="G16" s="146" t="str">
        <f t="shared" si="2"/>
        <v>#REF!</v>
      </c>
      <c r="H16" s="146" t="str">
        <f t="shared" si="3"/>
        <v>#REF!</v>
      </c>
      <c r="I16" s="138">
        <v>438.0</v>
      </c>
      <c r="J16" s="145"/>
      <c r="K16" s="145" t="str">
        <f t="shared" si="4"/>
        <v>#REF!</v>
      </c>
      <c r="L16" s="138" t="s">
        <v>441</v>
      </c>
    </row>
    <row r="17">
      <c r="A17" s="147" t="s">
        <v>41</v>
      </c>
      <c r="B17" s="147">
        <v>207.0</v>
      </c>
      <c r="C17" s="148">
        <f>IFERROR(__xludf.DUMMYFUNCTION("""COMPUTED_VALUE"""),3000.0)</f>
        <v>3000</v>
      </c>
      <c r="D17" s="130">
        <v>385.0</v>
      </c>
      <c r="E17" s="148">
        <f>IFERROR(__xludf.DUMMYFUNCTION("""COMPUTED_VALUE"""),60.5)</f>
        <v>60.5</v>
      </c>
      <c r="F17" s="149" t="str">
        <f t="shared" si="1"/>
        <v>#REF!</v>
      </c>
      <c r="G17" s="149" t="str">
        <f t="shared" si="2"/>
        <v>#REF!</v>
      </c>
      <c r="H17" s="149" t="str">
        <f t="shared" si="3"/>
        <v>#REF!</v>
      </c>
      <c r="I17" s="130">
        <v>244.0</v>
      </c>
      <c r="J17" s="148"/>
      <c r="K17" s="148" t="str">
        <f t="shared" si="4"/>
        <v>#REF!</v>
      </c>
      <c r="L17" s="130" t="s">
        <v>441</v>
      </c>
    </row>
    <row r="18">
      <c r="A18" s="144" t="s">
        <v>44</v>
      </c>
      <c r="B18" s="144">
        <v>207.0</v>
      </c>
      <c r="C18" s="145">
        <f>IFERROR(__xludf.DUMMYFUNCTION("""COMPUTED_VALUE"""),1900.0)</f>
        <v>1900</v>
      </c>
      <c r="D18" s="138">
        <v>385.0</v>
      </c>
      <c r="E18" s="145">
        <f>IFERROR(__xludf.DUMMYFUNCTION("""COMPUTED_VALUE"""),32.5)</f>
        <v>32.5</v>
      </c>
      <c r="F18" s="146" t="str">
        <f t="shared" si="1"/>
        <v>#REF!</v>
      </c>
      <c r="G18" s="146" t="str">
        <f t="shared" si="2"/>
        <v>#REF!</v>
      </c>
      <c r="H18" s="146" t="str">
        <f t="shared" si="3"/>
        <v>#REF!</v>
      </c>
      <c r="I18" s="138">
        <v>241.0</v>
      </c>
      <c r="J18" s="145"/>
      <c r="K18" s="145" t="str">
        <f t="shared" si="4"/>
        <v>#REF!</v>
      </c>
      <c r="L18" s="138" t="s">
        <v>441</v>
      </c>
    </row>
    <row r="19">
      <c r="A19" s="147" t="s">
        <v>46</v>
      </c>
      <c r="B19" s="147">
        <v>208.0</v>
      </c>
      <c r="C19" s="148">
        <f>IFERROR(__xludf.DUMMYFUNCTION("""COMPUTED_VALUE"""),2000.0)</f>
        <v>2000</v>
      </c>
      <c r="D19" s="130">
        <v>385.0</v>
      </c>
      <c r="E19" s="148">
        <f>IFERROR(__xludf.DUMMYFUNCTION("""COMPUTED_VALUE"""),66.0)</f>
        <v>66</v>
      </c>
      <c r="F19" s="149" t="str">
        <f t="shared" si="1"/>
        <v>#REF!</v>
      </c>
      <c r="G19" s="149" t="str">
        <f t="shared" si="2"/>
        <v>#REF!</v>
      </c>
      <c r="H19" s="149" t="str">
        <f t="shared" si="3"/>
        <v>#REF!</v>
      </c>
      <c r="I19" s="148"/>
      <c r="J19" s="130">
        <v>972.0</v>
      </c>
      <c r="K19" s="148" t="str">
        <f t="shared" si="4"/>
        <v>#REF!</v>
      </c>
      <c r="L19" s="130" t="s">
        <v>441</v>
      </c>
    </row>
    <row r="20">
      <c r="A20" s="150" t="s">
        <v>48</v>
      </c>
      <c r="B20" s="144">
        <v>301.0</v>
      </c>
      <c r="C20" s="145">
        <f>IFERROR(__xludf.DUMMYFUNCTION("""COMPUTED_VALUE"""),3100.0)</f>
        <v>3100</v>
      </c>
      <c r="D20" s="138">
        <v>385.0</v>
      </c>
      <c r="E20" s="145">
        <f>IFERROR(__xludf.DUMMYFUNCTION("""COMPUTED_VALUE"""),35.5)</f>
        <v>35.5</v>
      </c>
      <c r="F20" s="146" t="str">
        <f t="shared" si="1"/>
        <v>#REF!</v>
      </c>
      <c r="G20" s="146" t="str">
        <f t="shared" si="2"/>
        <v>#REF!</v>
      </c>
      <c r="H20" s="146" t="str">
        <f t="shared" si="3"/>
        <v>#REF!</v>
      </c>
      <c r="I20" s="138">
        <v>1330.0</v>
      </c>
      <c r="J20" s="145"/>
      <c r="K20" s="145" t="str">
        <f t="shared" si="4"/>
        <v>#REF!</v>
      </c>
      <c r="L20" s="138" t="s">
        <v>441</v>
      </c>
    </row>
    <row r="21">
      <c r="A21" s="147" t="s">
        <v>51</v>
      </c>
      <c r="B21" s="147">
        <v>302.0</v>
      </c>
      <c r="C21" s="148">
        <f>IFERROR(__xludf.DUMMYFUNCTION("""COMPUTED_VALUE"""),2850.0)</f>
        <v>2850</v>
      </c>
      <c r="D21" s="130">
        <v>385.0</v>
      </c>
      <c r="E21" s="148">
        <f>IFERROR(__xludf.DUMMYFUNCTION("""COMPUTED_VALUE"""),62.5)</f>
        <v>62.5</v>
      </c>
      <c r="F21" s="149" t="str">
        <f t="shared" si="1"/>
        <v>#REF!</v>
      </c>
      <c r="G21" s="149" t="str">
        <f t="shared" si="2"/>
        <v>#REF!</v>
      </c>
      <c r="H21" s="149" t="str">
        <f t="shared" si="3"/>
        <v>#REF!</v>
      </c>
      <c r="I21" s="130">
        <v>16.0</v>
      </c>
      <c r="J21" s="130"/>
      <c r="K21" s="148" t="str">
        <f t="shared" si="4"/>
        <v>#REF!</v>
      </c>
      <c r="L21" s="130" t="s">
        <v>441</v>
      </c>
    </row>
    <row r="22">
      <c r="A22" s="144" t="s">
        <v>54</v>
      </c>
      <c r="B22" s="144">
        <v>302.0</v>
      </c>
      <c r="C22" s="145">
        <f>IFERROR(__xludf.DUMMYFUNCTION("""COMPUTED_VALUE"""),1500.0)</f>
        <v>1500</v>
      </c>
      <c r="D22" s="138">
        <v>385.0</v>
      </c>
      <c r="E22" s="145">
        <f>IFERROR(__xludf.DUMMYFUNCTION("""COMPUTED_VALUE"""),29.0)</f>
        <v>29</v>
      </c>
      <c r="F22" s="146" t="str">
        <f t="shared" si="1"/>
        <v>#REF!</v>
      </c>
      <c r="G22" s="146" t="str">
        <f t="shared" si="2"/>
        <v>#REF!</v>
      </c>
      <c r="H22" s="146" t="str">
        <f t="shared" si="3"/>
        <v>#REF!</v>
      </c>
      <c r="I22" s="145"/>
      <c r="J22" s="138">
        <v>22.0</v>
      </c>
      <c r="K22" s="145" t="str">
        <f t="shared" si="4"/>
        <v>#REF!</v>
      </c>
      <c r="L22" s="138" t="s">
        <v>441</v>
      </c>
    </row>
    <row r="23">
      <c r="A23" s="147" t="s">
        <v>55</v>
      </c>
      <c r="B23" s="147">
        <v>302.0</v>
      </c>
      <c r="C23" s="148">
        <f>IFERROR(__xludf.DUMMYFUNCTION("""COMPUTED_VALUE"""),2000.0)</f>
        <v>2000</v>
      </c>
      <c r="D23" s="130">
        <v>385.0</v>
      </c>
      <c r="E23" s="148">
        <f>IFERROR(__xludf.DUMMYFUNCTION("""COMPUTED_VALUE"""),31.5)</f>
        <v>31.5</v>
      </c>
      <c r="F23" s="149" t="str">
        <f t="shared" si="1"/>
        <v>#REF!</v>
      </c>
      <c r="G23" s="149" t="str">
        <f t="shared" si="2"/>
        <v>#REF!</v>
      </c>
      <c r="H23" s="149" t="str">
        <f t="shared" si="3"/>
        <v>#REF!</v>
      </c>
      <c r="I23" s="130">
        <v>380.0</v>
      </c>
      <c r="J23" s="148"/>
      <c r="K23" s="148" t="str">
        <f t="shared" si="4"/>
        <v>#REF!</v>
      </c>
      <c r="L23" s="130" t="s">
        <v>441</v>
      </c>
    </row>
    <row r="24">
      <c r="A24" s="144" t="s">
        <v>58</v>
      </c>
      <c r="B24" s="144">
        <v>305.0</v>
      </c>
      <c r="C24" s="145">
        <f>IFERROR(__xludf.DUMMYFUNCTION("""COMPUTED_VALUE"""),3000.0)</f>
        <v>3000</v>
      </c>
      <c r="D24" s="138">
        <v>385.0</v>
      </c>
      <c r="E24" s="145">
        <f>IFERROR(__xludf.DUMMYFUNCTION("""COMPUTED_VALUE"""),60.0)</f>
        <v>60</v>
      </c>
      <c r="F24" s="146" t="str">
        <f t="shared" si="1"/>
        <v>#REF!</v>
      </c>
      <c r="G24" s="146" t="str">
        <f t="shared" si="2"/>
        <v>#REF!</v>
      </c>
      <c r="H24" s="146" t="str">
        <f t="shared" si="3"/>
        <v>#REF!</v>
      </c>
      <c r="I24" s="138">
        <v>264.0</v>
      </c>
      <c r="J24" s="145"/>
      <c r="K24" s="145" t="str">
        <f t="shared" si="4"/>
        <v>#REF!</v>
      </c>
      <c r="L24" s="138" t="s">
        <v>441</v>
      </c>
    </row>
    <row r="25">
      <c r="A25" s="147" t="s">
        <v>61</v>
      </c>
      <c r="B25" s="147">
        <v>306.0</v>
      </c>
      <c r="C25" s="148">
        <f>IFERROR(__xludf.DUMMYFUNCTION("""COMPUTED_VALUE"""),2500.0)</f>
        <v>2500</v>
      </c>
      <c r="D25" s="130">
        <v>385.0</v>
      </c>
      <c r="E25" s="148">
        <f>IFERROR(__xludf.DUMMYFUNCTION("""COMPUTED_VALUE"""),49.0)</f>
        <v>49</v>
      </c>
      <c r="F25" s="149" t="str">
        <f t="shared" si="1"/>
        <v>#REF!</v>
      </c>
      <c r="G25" s="149" t="str">
        <f t="shared" si="2"/>
        <v>#REF!</v>
      </c>
      <c r="H25" s="149" t="str">
        <f t="shared" si="3"/>
        <v>#REF!</v>
      </c>
      <c r="I25" s="130">
        <v>195.0</v>
      </c>
      <c r="J25" s="148"/>
      <c r="K25" s="148" t="str">
        <f t="shared" si="4"/>
        <v>#REF!</v>
      </c>
      <c r="L25" s="130" t="s">
        <v>441</v>
      </c>
    </row>
    <row r="26">
      <c r="A26" s="144" t="s">
        <v>64</v>
      </c>
      <c r="B26" s="144">
        <v>306.0</v>
      </c>
      <c r="C26" s="145">
        <f>IFERROR(__xludf.DUMMYFUNCTION("""COMPUTED_VALUE"""),3500.0)</f>
        <v>3500</v>
      </c>
      <c r="D26" s="138">
        <v>385.0</v>
      </c>
      <c r="E26" s="145">
        <f>IFERROR(__xludf.DUMMYFUNCTION("""COMPUTED_VALUE"""),70.0)</f>
        <v>70</v>
      </c>
      <c r="F26" s="146" t="str">
        <f t="shared" si="1"/>
        <v>#REF!</v>
      </c>
      <c r="G26" s="146" t="str">
        <f t="shared" si="2"/>
        <v>#REF!</v>
      </c>
      <c r="H26" s="146" t="str">
        <f t="shared" si="3"/>
        <v>#REF!</v>
      </c>
      <c r="I26" s="138">
        <v>372.0</v>
      </c>
      <c r="J26" s="145"/>
      <c r="K26" s="145" t="str">
        <f t="shared" si="4"/>
        <v>#REF!</v>
      </c>
      <c r="L26" s="138" t="s">
        <v>441</v>
      </c>
    </row>
    <row r="27">
      <c r="A27" s="147" t="s">
        <v>66</v>
      </c>
      <c r="B27" s="147">
        <v>306.0</v>
      </c>
      <c r="C27" s="148">
        <f>IFERROR(__xludf.DUMMYFUNCTION("""COMPUTED_VALUE"""),3000.0)</f>
        <v>3000</v>
      </c>
      <c r="D27" s="130">
        <v>385.0</v>
      </c>
      <c r="E27" s="148">
        <f>IFERROR(__xludf.DUMMYFUNCTION("""COMPUTED_VALUE"""),56.5)</f>
        <v>56.5</v>
      </c>
      <c r="F27" s="149" t="str">
        <f t="shared" si="1"/>
        <v>#REF!</v>
      </c>
      <c r="G27" s="149" t="str">
        <f t="shared" si="2"/>
        <v>#REF!</v>
      </c>
      <c r="H27" s="149" t="str">
        <f t="shared" si="3"/>
        <v>#REF!</v>
      </c>
      <c r="I27" s="130">
        <v>401.0</v>
      </c>
      <c r="J27" s="148"/>
      <c r="K27" s="148" t="str">
        <f t="shared" si="4"/>
        <v>#REF!</v>
      </c>
      <c r="L27" s="130" t="s">
        <v>441</v>
      </c>
    </row>
    <row r="28">
      <c r="A28" s="144" t="s">
        <v>68</v>
      </c>
      <c r="B28" s="144">
        <v>307.0</v>
      </c>
      <c r="C28" s="145">
        <f>IFERROR(__xludf.DUMMYFUNCTION("""COMPUTED_VALUE"""),3400.0)</f>
        <v>3400</v>
      </c>
      <c r="D28" s="138">
        <v>385.0</v>
      </c>
      <c r="E28" s="145">
        <f>IFERROR(__xludf.DUMMYFUNCTION("""COMPUTED_VALUE"""),42.0)</f>
        <v>42</v>
      </c>
      <c r="F28" s="146" t="str">
        <f t="shared" si="1"/>
        <v>#REF!</v>
      </c>
      <c r="G28" s="146" t="str">
        <f t="shared" si="2"/>
        <v>#REF!</v>
      </c>
      <c r="H28" s="146" t="str">
        <f t="shared" si="3"/>
        <v>#REF!</v>
      </c>
      <c r="I28" s="138">
        <v>1370.0</v>
      </c>
      <c r="J28" s="145"/>
      <c r="K28" s="145" t="str">
        <f t="shared" si="4"/>
        <v>#REF!</v>
      </c>
      <c r="L28" s="138" t="s">
        <v>441</v>
      </c>
    </row>
    <row r="29">
      <c r="A29" s="147" t="s">
        <v>71</v>
      </c>
      <c r="B29" s="147">
        <v>307.0</v>
      </c>
      <c r="C29" s="148">
        <f>IFERROR(__xludf.DUMMYFUNCTION("""COMPUTED_VALUE"""),2500.0)</f>
        <v>2500</v>
      </c>
      <c r="D29" s="130">
        <v>385.0</v>
      </c>
      <c r="E29" s="148">
        <f>IFERROR(__xludf.DUMMYFUNCTION("""COMPUTED_VALUE"""),50.5)</f>
        <v>50.5</v>
      </c>
      <c r="F29" s="149" t="str">
        <f t="shared" si="1"/>
        <v>#REF!</v>
      </c>
      <c r="G29" s="149" t="str">
        <f t="shared" si="2"/>
        <v>#REF!</v>
      </c>
      <c r="H29" s="149" t="str">
        <f t="shared" si="3"/>
        <v>#REF!</v>
      </c>
      <c r="I29" s="130">
        <v>136.0</v>
      </c>
      <c r="J29" s="148"/>
      <c r="K29" s="148" t="str">
        <f t="shared" si="4"/>
        <v>#REF!</v>
      </c>
      <c r="L29" s="130" t="s">
        <v>441</v>
      </c>
    </row>
    <row r="30">
      <c r="A30" s="144" t="s">
        <v>73</v>
      </c>
      <c r="B30" s="144">
        <v>308.0</v>
      </c>
      <c r="C30" s="145">
        <f>IFERROR(__xludf.DUMMYFUNCTION("""COMPUTED_VALUE"""),2500.0)</f>
        <v>2500</v>
      </c>
      <c r="D30" s="138">
        <v>385.0</v>
      </c>
      <c r="E30" s="145">
        <f>IFERROR(__xludf.DUMMYFUNCTION("""COMPUTED_VALUE"""),51.5)</f>
        <v>51.5</v>
      </c>
      <c r="F30" s="146" t="str">
        <f t="shared" si="1"/>
        <v>#REF!</v>
      </c>
      <c r="G30" s="146" t="str">
        <f t="shared" si="2"/>
        <v>#REF!</v>
      </c>
      <c r="H30" s="146" t="str">
        <f t="shared" si="3"/>
        <v>#REF!</v>
      </c>
      <c r="I30" s="138">
        <v>97.0</v>
      </c>
      <c r="J30" s="145"/>
      <c r="K30" s="145" t="str">
        <f t="shared" si="4"/>
        <v>#REF!</v>
      </c>
      <c r="L30" s="138" t="s">
        <v>441</v>
      </c>
    </row>
    <row r="31">
      <c r="A31" s="147" t="s">
        <v>76</v>
      </c>
      <c r="B31" s="147">
        <v>401.0</v>
      </c>
      <c r="C31" s="148">
        <f>IFERROR(__xludf.DUMMYFUNCTION("""COMPUTED_VALUE"""),3000.0)</f>
        <v>3000</v>
      </c>
      <c r="D31" s="130">
        <v>385.0</v>
      </c>
      <c r="E31" s="148">
        <f>IFERROR(__xludf.DUMMYFUNCTION("""COMPUTED_VALUE"""),64.0)</f>
        <v>64</v>
      </c>
      <c r="F31" s="149" t="str">
        <f t="shared" si="1"/>
        <v>#REF!</v>
      </c>
      <c r="G31" s="149" t="str">
        <f t="shared" si="2"/>
        <v>#REF!</v>
      </c>
      <c r="H31" s="149" t="str">
        <f t="shared" si="3"/>
        <v>#REF!</v>
      </c>
      <c r="I31" s="130">
        <v>107.0</v>
      </c>
      <c r="J31" s="148"/>
      <c r="K31" s="148" t="str">
        <f t="shared" si="4"/>
        <v>#REF!</v>
      </c>
      <c r="L31" s="130" t="s">
        <v>441</v>
      </c>
    </row>
    <row r="32">
      <c r="A32" s="144" t="s">
        <v>79</v>
      </c>
      <c r="B32" s="144">
        <v>402.0</v>
      </c>
      <c r="C32" s="145">
        <f>IFERROR(__xludf.DUMMYFUNCTION("""COMPUTED_VALUE"""),3000.0)</f>
        <v>3000</v>
      </c>
      <c r="D32" s="138">
        <v>385.0</v>
      </c>
      <c r="E32" s="145">
        <f>IFERROR(__xludf.DUMMYFUNCTION("""COMPUTED_VALUE"""),56.5)</f>
        <v>56.5</v>
      </c>
      <c r="F32" s="146" t="str">
        <f t="shared" si="1"/>
        <v>#REF!</v>
      </c>
      <c r="G32" s="146" t="str">
        <f t="shared" si="2"/>
        <v>#REF!</v>
      </c>
      <c r="H32" s="146" t="str">
        <f t="shared" si="3"/>
        <v>#REF!</v>
      </c>
      <c r="I32" s="138">
        <v>401.0</v>
      </c>
      <c r="J32" s="138"/>
      <c r="K32" s="145" t="str">
        <f t="shared" si="4"/>
        <v>#REF!</v>
      </c>
      <c r="L32" s="138" t="s">
        <v>441</v>
      </c>
    </row>
    <row r="33">
      <c r="A33" s="147" t="s">
        <v>83</v>
      </c>
      <c r="B33" s="147">
        <v>402.0</v>
      </c>
      <c r="C33" s="148">
        <f>IFERROR(__xludf.DUMMYFUNCTION("""COMPUTED_VALUE"""),3000.0)</f>
        <v>3000</v>
      </c>
      <c r="D33" s="130">
        <v>385.0</v>
      </c>
      <c r="E33" s="148">
        <f>IFERROR(__xludf.DUMMYFUNCTION("""COMPUTED_VALUE"""),55.5)</f>
        <v>55.5</v>
      </c>
      <c r="F33" s="149" t="str">
        <f t="shared" si="1"/>
        <v>#REF!</v>
      </c>
      <c r="G33" s="149" t="str">
        <f t="shared" si="2"/>
        <v>#REF!</v>
      </c>
      <c r="H33" s="149" t="str">
        <f t="shared" si="3"/>
        <v>#REF!</v>
      </c>
      <c r="I33" s="130">
        <v>440.0</v>
      </c>
      <c r="J33" s="148"/>
      <c r="K33" s="148" t="str">
        <f t="shared" si="4"/>
        <v>#REF!</v>
      </c>
      <c r="L33" s="130" t="s">
        <v>441</v>
      </c>
    </row>
    <row r="34">
      <c r="A34" s="144" t="s">
        <v>84</v>
      </c>
      <c r="B34" s="144">
        <v>402.0</v>
      </c>
      <c r="C34" s="145">
        <f>IFERROR(__xludf.DUMMYFUNCTION("""COMPUTED_VALUE"""),3000.0)</f>
        <v>3000</v>
      </c>
      <c r="D34" s="138">
        <v>385.0</v>
      </c>
      <c r="E34" s="145">
        <f>IFERROR(__xludf.DUMMYFUNCTION("""COMPUTED_VALUE"""),47.5)</f>
        <v>47.5</v>
      </c>
      <c r="F34" s="146" t="str">
        <f t="shared" si="1"/>
        <v>#REF!</v>
      </c>
      <c r="G34" s="146" t="str">
        <f t="shared" si="2"/>
        <v>#REF!</v>
      </c>
      <c r="H34" s="146" t="str">
        <f t="shared" si="3"/>
        <v>#REF!</v>
      </c>
      <c r="I34" s="138">
        <v>753.0</v>
      </c>
      <c r="J34" s="138"/>
      <c r="K34" s="145" t="str">
        <f t="shared" si="4"/>
        <v>#REF!</v>
      </c>
      <c r="L34" s="138" t="s">
        <v>441</v>
      </c>
    </row>
    <row r="35">
      <c r="A35" s="147" t="s">
        <v>85</v>
      </c>
      <c r="B35" s="147">
        <v>403.0</v>
      </c>
      <c r="C35" s="148">
        <f>IFERROR(__xludf.DUMMYFUNCTION("""COMPUTED_VALUE"""),2700.0)</f>
        <v>2700</v>
      </c>
      <c r="D35" s="130">
        <v>385.0</v>
      </c>
      <c r="E35" s="148">
        <f>IFERROR(__xludf.DUMMYFUNCTION("""COMPUTED_VALUE"""),60.5)</f>
        <v>60.5</v>
      </c>
      <c r="F35" s="149" t="str">
        <f t="shared" si="1"/>
        <v>#REF!</v>
      </c>
      <c r="G35" s="149" t="str">
        <f t="shared" si="2"/>
        <v>#REF!</v>
      </c>
      <c r="H35" s="149" t="str">
        <f t="shared" si="3"/>
        <v>#REF!</v>
      </c>
      <c r="I35" s="130"/>
      <c r="J35" s="130">
        <v>56.0</v>
      </c>
      <c r="K35" s="148" t="str">
        <f t="shared" si="4"/>
        <v>#REF!</v>
      </c>
      <c r="L35" s="130" t="s">
        <v>441</v>
      </c>
    </row>
    <row r="36">
      <c r="A36" s="144" t="s">
        <v>88</v>
      </c>
      <c r="B36" s="144">
        <v>403.0</v>
      </c>
      <c r="C36" s="145">
        <f>IFERROR(__xludf.DUMMYFUNCTION("""COMPUTED_VALUE"""),2400.0)</f>
        <v>2400</v>
      </c>
      <c r="D36" s="138">
        <v>385.0</v>
      </c>
      <c r="E36" s="145">
        <f>IFERROR(__xludf.DUMMYFUNCTION("""COMPUTED_VALUE"""),49.5)</f>
        <v>49.5</v>
      </c>
      <c r="F36" s="146" t="str">
        <f t="shared" si="1"/>
        <v>#REF!</v>
      </c>
      <c r="G36" s="146" t="str">
        <f t="shared" si="2"/>
        <v>#REF!</v>
      </c>
      <c r="H36" s="146" t="str">
        <f t="shared" si="3"/>
        <v>#REF!</v>
      </c>
      <c r="I36" s="138">
        <v>75.0</v>
      </c>
      <c r="J36" s="145"/>
      <c r="K36" s="145" t="str">
        <f t="shared" si="4"/>
        <v>#REF!</v>
      </c>
      <c r="L36" s="138" t="s">
        <v>441</v>
      </c>
    </row>
    <row r="37">
      <c r="A37" s="147" t="s">
        <v>90</v>
      </c>
      <c r="B37" s="147">
        <v>404.0</v>
      </c>
      <c r="C37" s="148">
        <f>IFERROR(__xludf.DUMMYFUNCTION("""COMPUTED_VALUE"""),2100.0)</f>
        <v>2100</v>
      </c>
      <c r="D37" s="130">
        <v>385.0</v>
      </c>
      <c r="E37" s="148">
        <f>IFERROR(__xludf.DUMMYFUNCTION("""COMPUTED_VALUE"""),45.5)</f>
        <v>45.5</v>
      </c>
      <c r="F37" s="149" t="str">
        <f t="shared" si="1"/>
        <v>#REF!</v>
      </c>
      <c r="G37" s="149" t="str">
        <f t="shared" si="2"/>
        <v>#REF!</v>
      </c>
      <c r="H37" s="149" t="str">
        <f t="shared" si="3"/>
        <v>#REF!</v>
      </c>
      <c r="I37" s="130"/>
      <c r="J37" s="130">
        <v>62.0</v>
      </c>
      <c r="K37" s="148" t="str">
        <f t="shared" si="4"/>
        <v>#REF!</v>
      </c>
      <c r="L37" s="130" t="s">
        <v>441</v>
      </c>
    </row>
    <row r="38">
      <c r="A38" s="144" t="s">
        <v>93</v>
      </c>
      <c r="B38" s="144">
        <v>404.0</v>
      </c>
      <c r="C38" s="145">
        <f>IFERROR(__xludf.DUMMYFUNCTION("""COMPUTED_VALUE"""),2000.0)</f>
        <v>2000</v>
      </c>
      <c r="D38" s="138">
        <v>385.0</v>
      </c>
      <c r="E38" s="145">
        <f>IFERROR(__xludf.DUMMYFUNCTION("""COMPUTED_VALUE"""),48.5)</f>
        <v>48.5</v>
      </c>
      <c r="F38" s="146" t="str">
        <f t="shared" si="1"/>
        <v>#REF!</v>
      </c>
      <c r="G38" s="146" t="str">
        <f t="shared" si="2"/>
        <v>#REF!</v>
      </c>
      <c r="H38" s="146" t="str">
        <f t="shared" si="3"/>
        <v>#REF!</v>
      </c>
      <c r="I38" s="138"/>
      <c r="J38" s="138">
        <v>284.0</v>
      </c>
      <c r="K38" s="145" t="str">
        <f t="shared" si="4"/>
        <v>#REF!</v>
      </c>
      <c r="L38" s="138" t="s">
        <v>441</v>
      </c>
    </row>
    <row r="39">
      <c r="A39" s="147" t="s">
        <v>95</v>
      </c>
      <c r="B39" s="147">
        <v>405.0</v>
      </c>
      <c r="C39" s="148">
        <f>IFERROR(__xludf.DUMMYFUNCTION("""COMPUTED_VALUE"""),2500.0)</f>
        <v>2500</v>
      </c>
      <c r="D39" s="130">
        <v>385.0</v>
      </c>
      <c r="E39" s="148">
        <f>IFERROR(__xludf.DUMMYFUNCTION("""COMPUTED_VALUE"""),58.0)</f>
        <v>58</v>
      </c>
      <c r="F39" s="149" t="str">
        <f t="shared" si="1"/>
        <v>#REF!</v>
      </c>
      <c r="G39" s="149" t="str">
        <f t="shared" si="2"/>
        <v>#REF!</v>
      </c>
      <c r="H39" s="149" t="str">
        <f t="shared" si="3"/>
        <v>#REF!</v>
      </c>
      <c r="I39" s="130"/>
      <c r="J39" s="130">
        <v>158.0</v>
      </c>
      <c r="K39" s="148" t="str">
        <f t="shared" si="4"/>
        <v>#REF!</v>
      </c>
      <c r="L39" s="130" t="s">
        <v>441</v>
      </c>
    </row>
    <row r="40">
      <c r="A40" s="144" t="s">
        <v>96</v>
      </c>
      <c r="B40" s="144">
        <v>406.0</v>
      </c>
      <c r="C40" s="145">
        <f>IFERROR(__xludf.DUMMYFUNCTION("""COMPUTED_VALUE"""),2600.0)</f>
        <v>2600</v>
      </c>
      <c r="D40" s="138">
        <v>385.0</v>
      </c>
      <c r="E40" s="145">
        <f>IFERROR(__xludf.DUMMYFUNCTION("""COMPUTED_VALUE"""),55.5)</f>
        <v>55.5</v>
      </c>
      <c r="F40" s="146" t="str">
        <f t="shared" si="1"/>
        <v>#REF!</v>
      </c>
      <c r="G40" s="146" t="str">
        <f t="shared" si="2"/>
        <v>#REF!</v>
      </c>
      <c r="H40" s="146" t="str">
        <f t="shared" si="3"/>
        <v>#REF!</v>
      </c>
      <c r="I40" s="138">
        <v>40.0</v>
      </c>
      <c r="J40" s="138"/>
      <c r="K40" s="145" t="str">
        <f t="shared" si="4"/>
        <v>#REF!</v>
      </c>
      <c r="L40" s="138" t="s">
        <v>441</v>
      </c>
    </row>
    <row r="41">
      <c r="A41" s="147" t="s">
        <v>99</v>
      </c>
      <c r="B41" s="147">
        <v>406.0</v>
      </c>
      <c r="C41" s="148">
        <f>IFERROR(__xludf.DUMMYFUNCTION("""COMPUTED_VALUE"""),3000.0)</f>
        <v>3000</v>
      </c>
      <c r="D41" s="130">
        <v>385.0</v>
      </c>
      <c r="E41" s="148">
        <f>IFERROR(__xludf.DUMMYFUNCTION("""COMPUTED_VALUE"""),49.5)</f>
        <v>49.5</v>
      </c>
      <c r="F41" s="149" t="str">
        <f t="shared" si="1"/>
        <v>#REF!</v>
      </c>
      <c r="G41" s="149" t="str">
        <f t="shared" si="2"/>
        <v>#REF!</v>
      </c>
      <c r="H41" s="149" t="str">
        <f t="shared" si="3"/>
        <v>#REF!</v>
      </c>
      <c r="I41" s="130">
        <v>675.0</v>
      </c>
      <c r="J41" s="148"/>
      <c r="K41" s="148" t="str">
        <f t="shared" si="4"/>
        <v>#REF!</v>
      </c>
      <c r="L41" s="130" t="s">
        <v>441</v>
      </c>
    </row>
    <row r="42">
      <c r="A42" s="144" t="s">
        <v>104</v>
      </c>
      <c r="B42" s="144">
        <v>407.0</v>
      </c>
      <c r="C42" s="145">
        <f>IFERROR(__xludf.DUMMYFUNCTION("IMPORTRANGE(""https://docs.google.com/spreadsheets/d/1s4GIn77ozPYLkviTGY9JZwFiP83CdAjzj1034nd0cVM/edit?gid=0#gid=0"",""cash_flow!d38:d39"")"),2800.0)</f>
        <v>2800</v>
      </c>
      <c r="D42" s="138">
        <v>385.0</v>
      </c>
      <c r="E42" s="145">
        <f>IFERROR(__xludf.DUMMYFUNCTION("IMPORTRANGE(""https://docs.google.com/spreadsheets/d/1s4GIn77ozPYLkviTGY9JZwFiP83CdAjzj1034nd0cVM/edit?gid=0#gid=0"",""cash_flow!c38:c39"")"),51.5)</f>
        <v>51.5</v>
      </c>
      <c r="F42" s="146" t="str">
        <f t="shared" si="1"/>
        <v>#REF!</v>
      </c>
      <c r="G42" s="146" t="str">
        <f t="shared" si="2"/>
        <v>#REF!</v>
      </c>
      <c r="H42" s="146" t="str">
        <f t="shared" si="3"/>
        <v>#REF!</v>
      </c>
      <c r="I42" s="138">
        <v>400.0</v>
      </c>
      <c r="J42" s="145"/>
      <c r="K42" s="145" t="str">
        <f t="shared" si="4"/>
        <v>#REF!</v>
      </c>
      <c r="L42" s="138" t="s">
        <v>441</v>
      </c>
    </row>
    <row r="43">
      <c r="A43" s="147" t="s">
        <v>106</v>
      </c>
      <c r="B43" s="147">
        <v>407.0</v>
      </c>
      <c r="C43" s="148">
        <f>IFERROR(__xludf.DUMMYFUNCTION("""COMPUTED_VALUE"""),3000.0)</f>
        <v>3000</v>
      </c>
      <c r="D43" s="130">
        <v>385.0</v>
      </c>
      <c r="E43" s="148">
        <f>IFERROR(__xludf.DUMMYFUNCTION("""COMPUTED_VALUE"""),64.5)</f>
        <v>64.5</v>
      </c>
      <c r="F43" s="149" t="str">
        <f t="shared" si="1"/>
        <v>#REF!</v>
      </c>
      <c r="G43" s="149" t="str">
        <f t="shared" si="2"/>
        <v>#REF!</v>
      </c>
      <c r="H43" s="149" t="str">
        <f t="shared" si="3"/>
        <v>#REF!</v>
      </c>
      <c r="I43" s="130">
        <v>87.0</v>
      </c>
      <c r="J43" s="130"/>
      <c r="K43" s="148" t="str">
        <f t="shared" si="4"/>
        <v>#REF!</v>
      </c>
      <c r="L43" s="130" t="s">
        <v>441</v>
      </c>
    </row>
    <row r="44">
      <c r="A44" s="144" t="s">
        <v>88</v>
      </c>
      <c r="B44" s="144">
        <v>408.0</v>
      </c>
      <c r="C44" s="145">
        <f>IFERROR(__xludf.DUMMYFUNCTION("IMPORTRANGE(""https://docs.google.com/spreadsheets/d/1s4GIn77ozPYLkviTGY9JZwFiP83CdAjzj1034nd0cVM/edit?gid=0#gid=0"",""cash_flow!d41:d44"")"),3200.0)</f>
        <v>3200</v>
      </c>
      <c r="D44" s="138">
        <v>385.0</v>
      </c>
      <c r="E44" s="145">
        <f>IFERROR(__xludf.DUMMYFUNCTION("IMPORTRANGE(""https://docs.google.com/spreadsheets/d/1s4GIn77ozPYLkviTGY9JZwFiP83CdAjzj1034nd0cVM/edit?gid=0#gid=0"",""cash_flow!c41:c44"")"),61.0)</f>
        <v>61</v>
      </c>
      <c r="F44" s="146" t="str">
        <f t="shared" si="1"/>
        <v>#REF!</v>
      </c>
      <c r="G44" s="146" t="str">
        <f t="shared" si="2"/>
        <v>#REF!</v>
      </c>
      <c r="H44" s="146" t="str">
        <f t="shared" si="3"/>
        <v>#REF!</v>
      </c>
      <c r="I44" s="138">
        <v>424.0</v>
      </c>
      <c r="J44" s="145"/>
      <c r="K44" s="145" t="str">
        <f t="shared" si="4"/>
        <v>#REF!</v>
      </c>
      <c r="L44" s="138" t="s">
        <v>441</v>
      </c>
    </row>
    <row r="45">
      <c r="A45" s="147" t="s">
        <v>58</v>
      </c>
      <c r="B45" s="147">
        <v>501.0</v>
      </c>
      <c r="C45" s="148">
        <f>IFERROR(__xludf.DUMMYFUNCTION("""COMPUTED_VALUE"""),3000.0)</f>
        <v>3000</v>
      </c>
      <c r="D45" s="130">
        <v>385.0</v>
      </c>
      <c r="E45" s="148">
        <f>IFERROR(__xludf.DUMMYFUNCTION("""COMPUTED_VALUE"""),58.0)</f>
        <v>58</v>
      </c>
      <c r="F45" s="149" t="str">
        <f t="shared" si="1"/>
        <v>#REF!</v>
      </c>
      <c r="G45" s="149" t="str">
        <f t="shared" si="2"/>
        <v>#REF!</v>
      </c>
      <c r="H45" s="149" t="str">
        <f t="shared" si="3"/>
        <v>#REF!</v>
      </c>
      <c r="I45" s="130">
        <v>331.0</v>
      </c>
      <c r="J45" s="148"/>
      <c r="K45" s="148" t="str">
        <f t="shared" si="4"/>
        <v>#REF!</v>
      </c>
      <c r="L45" s="130" t="s">
        <v>441</v>
      </c>
    </row>
    <row r="46">
      <c r="A46" s="144" t="s">
        <v>117</v>
      </c>
      <c r="B46" s="144">
        <v>502.0</v>
      </c>
      <c r="C46" s="145">
        <f>IFERROR(__xludf.DUMMYFUNCTION("""COMPUTED_VALUE"""),3000.0)</f>
        <v>3000</v>
      </c>
      <c r="D46" s="138">
        <v>385.0</v>
      </c>
      <c r="E46" s="145">
        <f>IFERROR(__xludf.DUMMYFUNCTION("""COMPUTED_VALUE"""),78.0)</f>
        <v>78</v>
      </c>
      <c r="F46" s="146" t="str">
        <f t="shared" si="1"/>
        <v>#REF!</v>
      </c>
      <c r="G46" s="146" t="str">
        <f t="shared" si="2"/>
        <v>#REF!</v>
      </c>
      <c r="H46" s="146" t="str">
        <f t="shared" si="3"/>
        <v>#REF!</v>
      </c>
      <c r="I46" s="138"/>
      <c r="J46" s="138">
        <v>442.0</v>
      </c>
      <c r="K46" s="145" t="str">
        <f t="shared" si="4"/>
        <v>#REF!</v>
      </c>
      <c r="L46" s="138" t="s">
        <v>441</v>
      </c>
    </row>
    <row r="47">
      <c r="A47" s="147" t="s">
        <v>118</v>
      </c>
      <c r="B47" s="147">
        <v>502.0</v>
      </c>
      <c r="C47" s="148">
        <f>IFERROR(__xludf.DUMMYFUNCTION("""COMPUTED_VALUE"""),2000.0)</f>
        <v>2000</v>
      </c>
      <c r="D47" s="130">
        <v>385.0</v>
      </c>
      <c r="E47" s="148">
        <f>IFERROR(__xludf.DUMMYFUNCTION("""COMPUTED_VALUE"""),44.5)</f>
        <v>44.5</v>
      </c>
      <c r="F47" s="149" t="str">
        <f t="shared" si="1"/>
        <v>#REF!</v>
      </c>
      <c r="G47" s="149" t="str">
        <f t="shared" si="2"/>
        <v>#REF!</v>
      </c>
      <c r="H47" s="149" t="str">
        <f t="shared" si="3"/>
        <v>#REF!</v>
      </c>
      <c r="I47" s="148"/>
      <c r="J47" s="130">
        <v>129.0</v>
      </c>
      <c r="K47" s="148" t="str">
        <f t="shared" si="4"/>
        <v>#REF!</v>
      </c>
      <c r="L47" s="130" t="s">
        <v>441</v>
      </c>
    </row>
    <row r="48">
      <c r="A48" s="144" t="s">
        <v>123</v>
      </c>
      <c r="B48" s="144">
        <v>503.0</v>
      </c>
      <c r="C48" s="145">
        <f>IFERROR(__xludf.DUMMYFUNCTION("IMPORTRANGE(""https://docs.google.com/spreadsheets/d/1s4GIn77ozPYLkviTGY9JZwFiP83CdAjzj1034nd0cVM/edit?gid=0#gid=0"",""cash_flow!d46:d64"")"),2100.0)</f>
        <v>2100</v>
      </c>
      <c r="D48" s="138">
        <v>385.0</v>
      </c>
      <c r="E48" s="145">
        <f>IFERROR(__xludf.DUMMYFUNCTION("IMPORTRANGE(""https://docs.google.com/spreadsheets/d/1s4GIn77ozPYLkviTGY9JZwFiP83CdAjzj1034nd0cVM/edit?gid=0#gid=0"",""cash_flow!c46:c64"")"),42.0)</f>
        <v>42</v>
      </c>
      <c r="F48" s="146" t="str">
        <f t="shared" si="1"/>
        <v>#REF!</v>
      </c>
      <c r="G48" s="146" t="str">
        <f t="shared" si="2"/>
        <v>#REF!</v>
      </c>
      <c r="H48" s="146" t="str">
        <f t="shared" si="3"/>
        <v>#REF!</v>
      </c>
      <c r="I48" s="138">
        <v>69.0</v>
      </c>
      <c r="J48" s="145"/>
      <c r="K48" s="145" t="str">
        <f t="shared" si="4"/>
        <v>#REF!</v>
      </c>
      <c r="L48" s="138" t="s">
        <v>441</v>
      </c>
    </row>
    <row r="49">
      <c r="A49" s="147" t="s">
        <v>126</v>
      </c>
      <c r="B49" s="147">
        <v>503.0</v>
      </c>
      <c r="C49" s="148">
        <f>IFERROR(__xludf.DUMMYFUNCTION("""COMPUTED_VALUE"""),1800.0)</f>
        <v>1800</v>
      </c>
      <c r="D49" s="130">
        <v>385.0</v>
      </c>
      <c r="E49" s="148">
        <f>IFERROR(__xludf.DUMMYFUNCTION("""COMPUTED_VALUE"""),36.0)</f>
        <v>36</v>
      </c>
      <c r="F49" s="149" t="str">
        <f t="shared" si="1"/>
        <v>#REF!</v>
      </c>
      <c r="G49" s="149" t="str">
        <f t="shared" si="2"/>
        <v>#REF!</v>
      </c>
      <c r="H49" s="149" t="str">
        <f t="shared" si="3"/>
        <v>#REF!</v>
      </c>
      <c r="I49" s="148"/>
      <c r="J49" s="148"/>
      <c r="K49" s="148" t="str">
        <f t="shared" si="4"/>
        <v>#REF!</v>
      </c>
      <c r="L49" s="148"/>
    </row>
    <row r="50">
      <c r="A50" s="144" t="s">
        <v>129</v>
      </c>
      <c r="B50" s="144">
        <v>505.0</v>
      </c>
      <c r="C50" s="145">
        <f>IFERROR(__xludf.DUMMYFUNCTION("""COMPUTED_VALUE"""),2700.0)</f>
        <v>2700</v>
      </c>
      <c r="D50" s="138">
        <v>385.0</v>
      </c>
      <c r="E50" s="145">
        <f>IFERROR(__xludf.DUMMYFUNCTION("""COMPUTED_VALUE"""),68.5)</f>
        <v>68.5</v>
      </c>
      <c r="F50" s="146" t="str">
        <f t="shared" si="1"/>
        <v>#REF!</v>
      </c>
      <c r="G50" s="146" t="str">
        <f t="shared" si="2"/>
        <v>#REF!</v>
      </c>
      <c r="H50" s="146" t="str">
        <f t="shared" si="3"/>
        <v>#REF!</v>
      </c>
      <c r="I50" s="145"/>
      <c r="J50" s="138">
        <v>370.0</v>
      </c>
      <c r="K50" s="145" t="str">
        <f t="shared" si="4"/>
        <v>#REF!</v>
      </c>
      <c r="L50" s="138" t="s">
        <v>441</v>
      </c>
    </row>
    <row r="51">
      <c r="A51" s="147" t="s">
        <v>132</v>
      </c>
      <c r="B51" s="147">
        <v>506.0</v>
      </c>
      <c r="C51" s="148">
        <f>IFERROR(__xludf.DUMMYFUNCTION("""COMPUTED_VALUE"""),2200.0)</f>
        <v>2200</v>
      </c>
      <c r="D51" s="130">
        <v>385.0</v>
      </c>
      <c r="E51" s="148">
        <f>IFERROR(__xludf.DUMMYFUNCTION("""COMPUTED_VALUE"""),59.5)</f>
        <v>59.5</v>
      </c>
      <c r="F51" s="149" t="str">
        <f t="shared" si="1"/>
        <v>#REF!</v>
      </c>
      <c r="G51" s="149" t="str">
        <f t="shared" si="2"/>
        <v>#REF!</v>
      </c>
      <c r="H51" s="149" t="str">
        <f t="shared" si="3"/>
        <v>#REF!</v>
      </c>
      <c r="I51" s="130"/>
      <c r="J51" s="130">
        <v>517.0</v>
      </c>
      <c r="K51" s="148" t="str">
        <f t="shared" si="4"/>
        <v>#REF!</v>
      </c>
      <c r="L51" s="130" t="s">
        <v>441</v>
      </c>
    </row>
    <row r="52">
      <c r="A52" s="144" t="s">
        <v>41</v>
      </c>
      <c r="B52" s="144">
        <v>506.0</v>
      </c>
      <c r="C52" s="145">
        <f>IFERROR(__xludf.DUMMYFUNCTION("""COMPUTED_VALUE"""),2845.0)</f>
        <v>2845</v>
      </c>
      <c r="D52" s="138">
        <v>385.0</v>
      </c>
      <c r="E52" s="145">
        <f>IFERROR(__xludf.DUMMYFUNCTION("""COMPUTED_VALUE"""),69.5)</f>
        <v>69.5</v>
      </c>
      <c r="F52" s="146" t="str">
        <f t="shared" si="1"/>
        <v>#REF!</v>
      </c>
      <c r="G52" s="146" t="str">
        <f t="shared" si="2"/>
        <v>#REF!</v>
      </c>
      <c r="H52" s="146" t="str">
        <f t="shared" si="3"/>
        <v>#REF!</v>
      </c>
      <c r="I52" s="138"/>
      <c r="J52" s="138">
        <v>264.0</v>
      </c>
      <c r="K52" s="145" t="str">
        <f t="shared" si="4"/>
        <v>#REF!</v>
      </c>
      <c r="L52" s="138" t="s">
        <v>441</v>
      </c>
    </row>
    <row r="53">
      <c r="A53" s="147" t="s">
        <v>137</v>
      </c>
      <c r="B53" s="147">
        <v>507.0</v>
      </c>
      <c r="C53" s="148">
        <f>IFERROR(__xludf.DUMMYFUNCTION("""COMPUTED_VALUE"""),3300.0)</f>
        <v>3300</v>
      </c>
      <c r="D53" s="130">
        <v>385.0</v>
      </c>
      <c r="E53" s="148">
        <f>IFERROR(__xludf.DUMMYFUNCTION("""COMPUTED_VALUE"""),74.0)</f>
        <v>74</v>
      </c>
      <c r="F53" s="149" t="str">
        <f t="shared" si="1"/>
        <v>#REF!</v>
      </c>
      <c r="G53" s="149" t="str">
        <f t="shared" si="2"/>
        <v>#REF!</v>
      </c>
      <c r="H53" s="149" t="str">
        <f t="shared" si="3"/>
        <v>#REF!</v>
      </c>
      <c r="I53" s="130">
        <v>15.0</v>
      </c>
      <c r="J53" s="148"/>
      <c r="K53" s="148" t="str">
        <f t="shared" si="4"/>
        <v>#REF!</v>
      </c>
      <c r="L53" s="130" t="s">
        <v>441</v>
      </c>
    </row>
    <row r="54">
      <c r="A54" s="144" t="s">
        <v>140</v>
      </c>
      <c r="B54" s="144">
        <v>507.0</v>
      </c>
      <c r="C54" s="145">
        <f>IFERROR(__xludf.DUMMYFUNCTION("""COMPUTED_VALUE"""),3000.0)</f>
        <v>3000</v>
      </c>
      <c r="D54" s="138">
        <v>385.0</v>
      </c>
      <c r="E54" s="145">
        <f>IFERROR(__xludf.DUMMYFUNCTION("""COMPUTED_VALUE"""),69.5)</f>
        <v>69.5</v>
      </c>
      <c r="F54" s="146" t="str">
        <f t="shared" si="1"/>
        <v>#REF!</v>
      </c>
      <c r="G54" s="146" t="str">
        <f t="shared" si="2"/>
        <v>#REF!</v>
      </c>
      <c r="H54" s="146" t="str">
        <f t="shared" si="3"/>
        <v>#REF!</v>
      </c>
      <c r="I54" s="145"/>
      <c r="J54" s="138">
        <v>109.0</v>
      </c>
      <c r="K54" s="145" t="str">
        <f t="shared" si="4"/>
        <v>#REF!</v>
      </c>
      <c r="L54" s="138" t="s">
        <v>441</v>
      </c>
    </row>
    <row r="55">
      <c r="A55" s="147" t="s">
        <v>141</v>
      </c>
      <c r="B55" s="147">
        <v>508.0</v>
      </c>
      <c r="C55" s="148">
        <f>IFERROR(__xludf.DUMMYFUNCTION("""COMPUTED_VALUE"""),3000.0)</f>
        <v>3000</v>
      </c>
      <c r="D55" s="130">
        <v>385.0</v>
      </c>
      <c r="E55" s="148">
        <f>IFERROR(__xludf.DUMMYFUNCTION("""COMPUTED_VALUE"""),69.5)</f>
        <v>69.5</v>
      </c>
      <c r="F55" s="149" t="str">
        <f t="shared" si="1"/>
        <v>#REF!</v>
      </c>
      <c r="G55" s="149" t="str">
        <f t="shared" si="2"/>
        <v>#REF!</v>
      </c>
      <c r="H55" s="149" t="str">
        <f t="shared" si="3"/>
        <v>#REF!</v>
      </c>
      <c r="I55" s="148"/>
      <c r="J55" s="130">
        <v>109.0</v>
      </c>
      <c r="K55" s="148" t="str">
        <f t="shared" si="4"/>
        <v>#REF!</v>
      </c>
      <c r="L55" s="130" t="s">
        <v>441</v>
      </c>
    </row>
    <row r="56">
      <c r="A56" s="144" t="s">
        <v>58</v>
      </c>
      <c r="B56" s="144">
        <v>602.0</v>
      </c>
      <c r="C56" s="145">
        <f>IFERROR(__xludf.DUMMYFUNCTION("""COMPUTED_VALUE"""),3400.0)</f>
        <v>3400</v>
      </c>
      <c r="D56" s="138">
        <v>385.0</v>
      </c>
      <c r="E56" s="145">
        <f>IFERROR(__xludf.DUMMYFUNCTION("""COMPUTED_VALUE"""),67.5)</f>
        <v>67.5</v>
      </c>
      <c r="F56" s="146" t="str">
        <f t="shared" si="1"/>
        <v>#REF!</v>
      </c>
      <c r="G56" s="146" t="str">
        <f t="shared" si="2"/>
        <v>#REF!</v>
      </c>
      <c r="H56" s="146" t="str">
        <f t="shared" si="3"/>
        <v>#REF!</v>
      </c>
      <c r="I56" s="138">
        <v>370.0</v>
      </c>
      <c r="J56" s="145"/>
      <c r="K56" s="145" t="str">
        <f t="shared" si="4"/>
        <v>#REF!</v>
      </c>
      <c r="L56" s="138" t="s">
        <v>441</v>
      </c>
    </row>
    <row r="57">
      <c r="A57" s="147" t="s">
        <v>118</v>
      </c>
      <c r="B57" s="147">
        <v>602.0</v>
      </c>
      <c r="C57" s="148">
        <f>IFERROR(__xludf.DUMMYFUNCTION("""COMPUTED_VALUE"""),2500.0)</f>
        <v>2500</v>
      </c>
      <c r="D57" s="130">
        <v>385.0</v>
      </c>
      <c r="E57" s="148">
        <f>IFERROR(__xludf.DUMMYFUNCTION("""COMPUTED_VALUE"""),60.0)</f>
        <v>60</v>
      </c>
      <c r="F57" s="149" t="str">
        <f t="shared" si="1"/>
        <v>#REF!</v>
      </c>
      <c r="G57" s="149" t="str">
        <f t="shared" si="2"/>
        <v>#REF!</v>
      </c>
      <c r="H57" s="149" t="str">
        <f t="shared" si="3"/>
        <v>#REF!</v>
      </c>
      <c r="I57" s="130"/>
      <c r="J57" s="130">
        <v>228.0</v>
      </c>
      <c r="K57" s="148" t="str">
        <f t="shared" si="4"/>
        <v>#REF!</v>
      </c>
      <c r="L57" s="130" t="s">
        <v>425</v>
      </c>
    </row>
    <row r="58">
      <c r="A58" s="144" t="s">
        <v>145</v>
      </c>
      <c r="B58" s="144">
        <v>603.0</v>
      </c>
      <c r="C58" s="145">
        <f>IFERROR(__xludf.DUMMYFUNCTION("""COMPUTED_VALUE"""),2000.0)</f>
        <v>2000</v>
      </c>
      <c r="D58" s="138">
        <v>385.0</v>
      </c>
      <c r="E58" s="145">
        <f>IFERROR(__xludf.DUMMYFUNCTION("""COMPUTED_VALUE"""),38.5)</f>
        <v>38.5</v>
      </c>
      <c r="F58" s="146" t="str">
        <f t="shared" si="1"/>
        <v>#REF!</v>
      </c>
      <c r="G58" s="146" t="str">
        <f t="shared" si="2"/>
        <v>#REF!</v>
      </c>
      <c r="H58" s="146" t="str">
        <f t="shared" si="3"/>
        <v>#REF!</v>
      </c>
      <c r="I58" s="138">
        <v>117.0</v>
      </c>
      <c r="J58" s="145"/>
      <c r="K58" s="145" t="str">
        <f t="shared" si="4"/>
        <v>#REF!</v>
      </c>
      <c r="L58" s="138" t="s">
        <v>425</v>
      </c>
    </row>
    <row r="59">
      <c r="A59" s="147" t="s">
        <v>148</v>
      </c>
      <c r="B59" s="147">
        <v>604.0</v>
      </c>
      <c r="C59" s="148">
        <f>IFERROR(__xludf.DUMMYFUNCTION("""COMPUTED_VALUE"""),2900.0)</f>
        <v>2900</v>
      </c>
      <c r="D59" s="130">
        <v>385.0</v>
      </c>
      <c r="E59" s="148">
        <f>IFERROR(__xludf.DUMMYFUNCTION("""COMPUTED_VALUE"""),46.0)</f>
        <v>46</v>
      </c>
      <c r="F59" s="149" t="str">
        <f t="shared" si="1"/>
        <v>#REF!</v>
      </c>
      <c r="G59" s="149" t="str">
        <f t="shared" si="2"/>
        <v>#REF!</v>
      </c>
      <c r="H59" s="149" t="str">
        <f t="shared" si="3"/>
        <v>#REF!</v>
      </c>
      <c r="I59" s="130">
        <v>712.0</v>
      </c>
      <c r="J59" s="148"/>
      <c r="K59" s="148" t="str">
        <f t="shared" si="4"/>
        <v>#REF!</v>
      </c>
      <c r="L59" s="130" t="s">
        <v>441</v>
      </c>
    </row>
    <row r="60">
      <c r="A60" s="144" t="s">
        <v>150</v>
      </c>
      <c r="B60" s="144">
        <v>604.0</v>
      </c>
      <c r="C60" s="145">
        <f>IFERROR(__xludf.DUMMYFUNCTION("""COMPUTED_VALUE"""),3000.0)</f>
        <v>3000</v>
      </c>
      <c r="D60" s="138">
        <v>385.0</v>
      </c>
      <c r="E60" s="145">
        <f>IFERROR(__xludf.DUMMYFUNCTION("""COMPUTED_VALUE"""),58.5)</f>
        <v>58.5</v>
      </c>
      <c r="F60" s="146" t="str">
        <f t="shared" si="1"/>
        <v>#REF!</v>
      </c>
      <c r="G60" s="146" t="str">
        <f t="shared" si="2"/>
        <v>#REF!</v>
      </c>
      <c r="H60" s="146" t="str">
        <f t="shared" si="3"/>
        <v>#REF!</v>
      </c>
      <c r="I60" s="138">
        <v>322.0</v>
      </c>
      <c r="J60" s="145"/>
      <c r="K60" s="145" t="str">
        <f t="shared" si="4"/>
        <v>#REF!</v>
      </c>
      <c r="L60" s="138" t="s">
        <v>441</v>
      </c>
    </row>
    <row r="61">
      <c r="A61" s="147" t="s">
        <v>58</v>
      </c>
      <c r="B61" s="147">
        <v>606.0</v>
      </c>
      <c r="C61" s="148">
        <f>IFERROR(__xludf.DUMMYFUNCTION("""COMPUTED_VALUE"""),3300.0)</f>
        <v>3300</v>
      </c>
      <c r="D61" s="130">
        <v>385.0</v>
      </c>
      <c r="E61" s="148">
        <f>IFERROR(__xludf.DUMMYFUNCTION("""COMPUTED_VALUE"""),49.5)</f>
        <v>49.5</v>
      </c>
      <c r="F61" s="149" t="str">
        <f t="shared" si="1"/>
        <v>#REF!</v>
      </c>
      <c r="G61" s="149" t="str">
        <f t="shared" si="2"/>
        <v>#REF!</v>
      </c>
      <c r="H61" s="149" t="str">
        <f t="shared" si="3"/>
        <v>#REF!</v>
      </c>
      <c r="I61" s="130">
        <v>975.0</v>
      </c>
      <c r="J61" s="148"/>
      <c r="K61" s="148" t="str">
        <f t="shared" si="4"/>
        <v>#REF!</v>
      </c>
      <c r="L61" s="130" t="s">
        <v>441</v>
      </c>
    </row>
    <row r="62">
      <c r="A62" s="144" t="s">
        <v>23</v>
      </c>
      <c r="B62" s="144">
        <v>606.0</v>
      </c>
      <c r="C62" s="145">
        <f>IFERROR(__xludf.DUMMYFUNCTION("""COMPUTED_VALUE"""),3000.0)</f>
        <v>3000</v>
      </c>
      <c r="D62" s="138">
        <v>385.0</v>
      </c>
      <c r="E62" s="145">
        <f>IFERROR(__xludf.DUMMYFUNCTION("""COMPUTED_VALUE"""),45.5)</f>
        <v>45.5</v>
      </c>
      <c r="F62" s="146" t="str">
        <f t="shared" si="1"/>
        <v>#REF!</v>
      </c>
      <c r="G62" s="146" t="str">
        <f t="shared" si="2"/>
        <v>#REF!</v>
      </c>
      <c r="H62" s="146" t="str">
        <f t="shared" si="3"/>
        <v>#REF!</v>
      </c>
      <c r="I62" s="138">
        <v>832.0</v>
      </c>
      <c r="J62" s="145"/>
      <c r="K62" s="145" t="str">
        <f t="shared" si="4"/>
        <v>#REF!</v>
      </c>
      <c r="L62" s="138" t="s">
        <v>441</v>
      </c>
    </row>
    <row r="63">
      <c r="A63" s="147" t="s">
        <v>156</v>
      </c>
      <c r="B63" s="147">
        <v>606.0</v>
      </c>
      <c r="C63" s="148">
        <f>IFERROR(__xludf.DUMMYFUNCTION("""COMPUTED_VALUE"""),1400.0)</f>
        <v>1400</v>
      </c>
      <c r="D63" s="130">
        <v>385.0</v>
      </c>
      <c r="E63" s="148">
        <f>IFERROR(__xludf.DUMMYFUNCTION("""COMPUTED_VALUE"""),21.5)</f>
        <v>21.5</v>
      </c>
      <c r="F63" s="149" t="str">
        <f t="shared" si="1"/>
        <v>#REF!</v>
      </c>
      <c r="G63" s="149" t="str">
        <f t="shared" si="2"/>
        <v>#REF!</v>
      </c>
      <c r="H63" s="149" t="str">
        <f t="shared" si="3"/>
        <v>#REF!</v>
      </c>
      <c r="I63" s="130">
        <v>172.0</v>
      </c>
      <c r="J63" s="148"/>
      <c r="K63" s="148" t="str">
        <f t="shared" si="4"/>
        <v>#REF!</v>
      </c>
      <c r="L63" s="130" t="s">
        <v>441</v>
      </c>
    </row>
    <row r="64">
      <c r="A64" s="144" t="s">
        <v>159</v>
      </c>
      <c r="B64" s="144">
        <v>607.0</v>
      </c>
      <c r="C64" s="145">
        <f>IFERROR(__xludf.DUMMYFUNCTION("""COMPUTED_VALUE"""),3000.0)</f>
        <v>3000</v>
      </c>
      <c r="D64" s="138">
        <v>385.0</v>
      </c>
      <c r="E64" s="145">
        <f>IFERROR(__xludf.DUMMYFUNCTION("""COMPUTED_VALUE"""),69.0)</f>
        <v>69</v>
      </c>
      <c r="F64" s="146" t="str">
        <f t="shared" si="1"/>
        <v>#REF!</v>
      </c>
      <c r="G64" s="146" t="str">
        <f t="shared" si="2"/>
        <v>#REF!</v>
      </c>
      <c r="H64" s="146" t="str">
        <f t="shared" si="3"/>
        <v>#REF!</v>
      </c>
      <c r="I64" s="138"/>
      <c r="J64" s="138">
        <v>89.0</v>
      </c>
      <c r="K64" s="145" t="str">
        <f t="shared" si="4"/>
        <v>#REF!</v>
      </c>
      <c r="L64" s="138" t="s">
        <v>441</v>
      </c>
    </row>
    <row r="65">
      <c r="A65" s="147" t="s">
        <v>162</v>
      </c>
      <c r="B65" s="147">
        <v>607.0</v>
      </c>
      <c r="C65" s="148">
        <f>IFERROR(__xludf.DUMMYFUNCTION("""COMPUTED_VALUE"""),2700.0)</f>
        <v>2700</v>
      </c>
      <c r="D65" s="130">
        <v>385.0</v>
      </c>
      <c r="E65" s="148">
        <f>IFERROR(__xludf.DUMMYFUNCTION("""COMPUTED_VALUE"""),49.0)</f>
        <v>49</v>
      </c>
      <c r="F65" s="149" t="str">
        <f t="shared" si="1"/>
        <v>#REF!</v>
      </c>
      <c r="G65" s="149" t="str">
        <f t="shared" si="2"/>
        <v>#REF!</v>
      </c>
      <c r="H65" s="149" t="str">
        <f t="shared" si="3"/>
        <v>#REF!</v>
      </c>
      <c r="I65" s="130">
        <v>395.0</v>
      </c>
      <c r="J65" s="148"/>
      <c r="K65" s="148" t="str">
        <f t="shared" si="4"/>
        <v>#REF!</v>
      </c>
      <c r="L65" s="130" t="s">
        <v>441</v>
      </c>
    </row>
    <row r="66">
      <c r="A66" s="144" t="s">
        <v>165</v>
      </c>
      <c r="B66" s="144">
        <v>607.0</v>
      </c>
      <c r="C66" s="145">
        <f>IFERROR(__xludf.DUMMYFUNCTION("""COMPUTED_VALUE"""),3300.0)</f>
        <v>3300</v>
      </c>
      <c r="D66" s="138">
        <v>385.0</v>
      </c>
      <c r="E66" s="145">
        <f>IFERROR(__xludf.DUMMYFUNCTION("""COMPUTED_VALUE"""),81.5)</f>
        <v>81.5</v>
      </c>
      <c r="F66" s="146" t="str">
        <f t="shared" si="1"/>
        <v>#REF!</v>
      </c>
      <c r="G66" s="146" t="str">
        <f t="shared" si="2"/>
        <v>#REF!</v>
      </c>
      <c r="H66" s="146" t="str">
        <f t="shared" si="3"/>
        <v>#REF!</v>
      </c>
      <c r="I66" s="138"/>
      <c r="J66" s="138">
        <v>279.0</v>
      </c>
      <c r="K66" s="145" t="str">
        <f t="shared" si="4"/>
        <v>#REF!</v>
      </c>
      <c r="L66" s="138" t="s">
        <v>441</v>
      </c>
    </row>
    <row r="67">
      <c r="A67" s="130" t="s">
        <v>442</v>
      </c>
      <c r="B67" s="130">
        <v>407.0</v>
      </c>
      <c r="C67" s="130">
        <v>1000.0</v>
      </c>
      <c r="D67" s="130">
        <v>220.0</v>
      </c>
      <c r="E67" s="130">
        <v>22.0</v>
      </c>
      <c r="F67" s="149" t="str">
        <f t="shared" si="1"/>
        <v>#REF!</v>
      </c>
      <c r="G67" s="149" t="str">
        <f t="shared" si="2"/>
        <v>#REF!</v>
      </c>
      <c r="H67" s="149" t="str">
        <f t="shared" si="3"/>
        <v>#REF!</v>
      </c>
      <c r="I67" s="148"/>
      <c r="J67" s="130">
        <v>82.0</v>
      </c>
      <c r="K67" s="148" t="str">
        <f t="shared" si="4"/>
        <v>#REF!</v>
      </c>
      <c r="L67" s="130" t="s">
        <v>441</v>
      </c>
    </row>
    <row r="68">
      <c r="A68" s="138" t="s">
        <v>120</v>
      </c>
      <c r="B68" s="138">
        <v>502.0</v>
      </c>
      <c r="C68" s="138">
        <v>830.0</v>
      </c>
      <c r="D68" s="138">
        <v>220.0</v>
      </c>
      <c r="E68" s="138">
        <v>17.5</v>
      </c>
      <c r="F68" s="146" t="str">
        <f t="shared" si="1"/>
        <v>#REF!</v>
      </c>
      <c r="G68" s="146" t="str">
        <f t="shared" si="2"/>
        <v>#REF!</v>
      </c>
      <c r="H68" s="146" t="str">
        <f t="shared" si="3"/>
        <v>#REF!</v>
      </c>
      <c r="I68" s="145"/>
      <c r="J68" s="138">
        <v>76.0</v>
      </c>
      <c r="K68" s="145" t="str">
        <f t="shared" si="4"/>
        <v>#REF!</v>
      </c>
      <c r="L68" s="138" t="s">
        <v>441</v>
      </c>
    </row>
    <row r="69">
      <c r="A69" s="151"/>
      <c r="B69" s="151"/>
      <c r="C69" s="151"/>
      <c r="D69" s="151"/>
      <c r="E69" s="151"/>
      <c r="F69" s="151"/>
      <c r="G69" s="151"/>
      <c r="H69" s="151"/>
      <c r="I69" s="151"/>
      <c r="J69" s="151"/>
      <c r="K69" s="119"/>
      <c r="L69" s="151"/>
    </row>
    <row r="70">
      <c r="A70" s="151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</row>
    <row r="71">
      <c r="A71" s="151"/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</row>
    <row r="72">
      <c r="A72" s="151"/>
      <c r="B72" s="151"/>
      <c r="C72" s="151"/>
      <c r="D72" s="151"/>
      <c r="E72" s="151"/>
      <c r="F72" s="151"/>
      <c r="G72" s="151"/>
      <c r="H72" s="151"/>
      <c r="I72" s="151"/>
      <c r="J72" s="151"/>
      <c r="K72" s="151"/>
      <c r="L72" s="151"/>
    </row>
  </sheetData>
  <mergeCells count="10">
    <mergeCell ref="D5:D6"/>
    <mergeCell ref="E5:G6"/>
    <mergeCell ref="I1:J1"/>
    <mergeCell ref="A3:C4"/>
    <mergeCell ref="D3:D4"/>
    <mergeCell ref="E3:G4"/>
    <mergeCell ref="H3:H4"/>
    <mergeCell ref="I4:J4"/>
    <mergeCell ref="A5:C6"/>
    <mergeCell ref="H5:H6"/>
  </mergeCells>
  <conditionalFormatting sqref="D1 H2 G3:G7 H8:H68 G69:G72">
    <cfRule type="cellIs" dxfId="6" priority="1" operator="lessThanOrEqual">
      <formula>0</formula>
    </cfRule>
  </conditionalFormatting>
  <conditionalFormatting sqref="D1 H2 G3:G7 H8:H68 G69:G72">
    <cfRule type="cellIs" dxfId="7" priority="2" operator="greaterThanOrEqual">
      <formula>0</formula>
    </cfRule>
  </conditionalFormatting>
  <conditionalFormatting sqref="I2:I72">
    <cfRule type="cellIs" dxfId="8" priority="3" operator="greaterThan">
      <formula>0</formula>
    </cfRule>
  </conditionalFormatting>
  <conditionalFormatting sqref="J2:J3 J5:J72">
    <cfRule type="cellIs" dxfId="9" priority="4" operator="greaterThan">
      <formula>0</formula>
    </cfRule>
  </conditionalFormatting>
  <conditionalFormatting sqref="K1:K72">
    <cfRule type="cellIs" dxfId="3" priority="5" operator="greaterThan">
      <formula>0</formula>
    </cfRule>
  </conditionalFormatting>
  <conditionalFormatting sqref="K1:K72">
    <cfRule type="cellIs" dxfId="10" priority="6" operator="lessThan">
      <formula>0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