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<sst xmlns="http://schemas.openxmlformats.org/spreadsheetml/2006/main" count="411" uniqueCount="43">
  <si>
    <t xml:space="preserve">Vendedor</t>
  </si>
  <si>
    <t xml:space="preserve">Data</t>
  </si>
  <si>
    <t xml:space="preserve">Dia em Número</t>
  </si>
  <si>
    <t xml:space="preserve">Dia da Semana</t>
  </si>
  <si>
    <t xml:space="preserve">FDS ou DU</t>
  </si>
  <si>
    <t xml:space="preserve">Venda - Real</t>
  </si>
  <si>
    <t xml:space="preserve">Venda - Projetada</t>
  </si>
  <si>
    <t xml:space="preserve">Venda – Diferença</t>
  </si>
  <si>
    <t xml:space="preserve">Venda – Bateu Meta</t>
  </si>
  <si>
    <t xml:space="preserve">Acumulado – Real</t>
  </si>
  <si>
    <t xml:space="preserve">Acumulado – Projetado</t>
  </si>
  <si>
    <t xml:space="preserve">Clientes Abordados</t>
  </si>
  <si>
    <t xml:space="preserve">Vendas Fechadas</t>
  </si>
  <si>
    <t xml:space="preserve">CA – VF</t>
  </si>
  <si>
    <t xml:space="preserve">Vendas Perdidas</t>
  </si>
  <si>
    <t xml:space="preserve">Taxa de Conversão Percentual</t>
  </si>
  <si>
    <t xml:space="preserve">Média da Taxa de Conversão Percentual</t>
  </si>
  <si>
    <t xml:space="preserve">Média da Taxa de Conversão Decimal</t>
  </si>
  <si>
    <t xml:space="preserve">Tendência Linear Monetária</t>
  </si>
  <si>
    <t xml:space="preserve">Tendência Sazonal Monetária</t>
  </si>
  <si>
    <t xml:space="preserve">Maria Clara</t>
  </si>
  <si>
    <t xml:space="preserve">Domingo</t>
  </si>
  <si>
    <t xml:space="preserve">FDS</t>
  </si>
  <si>
    <t xml:space="preserve">sim</t>
  </si>
  <si>
    <t xml:space="preserve">Segunda</t>
  </si>
  <si>
    <t xml:space="preserve">DU</t>
  </si>
  <si>
    <t xml:space="preserve">não</t>
  </si>
  <si>
    <t xml:space="preserve">Maria Alfa</t>
  </si>
  <si>
    <t xml:space="preserve">Terça</t>
  </si>
  <si>
    <t xml:space="preserve">Maria Beta</t>
  </si>
  <si>
    <t xml:space="preserve">Quarta</t>
  </si>
  <si>
    <t xml:space="preserve">Media Monetária Geral</t>
  </si>
  <si>
    <t xml:space="preserve">Quinta</t>
  </si>
  <si>
    <t xml:space="preserve">Sexta</t>
  </si>
  <si>
    <t xml:space="preserve">Media Semanal</t>
  </si>
  <si>
    <t xml:space="preserve">Percentual da Média Geral</t>
  </si>
  <si>
    <t xml:space="preserve">Sabado</t>
  </si>
  <si>
    <t xml:space="preserve">Matheus Garcia</t>
  </si>
  <si>
    <t xml:space="preserve">Matheus Alfa</t>
  </si>
  <si>
    <t xml:space="preserve">Matheus Beta</t>
  </si>
  <si>
    <t xml:space="preserve">Pedro Henrique</t>
  </si>
  <si>
    <t xml:space="preserve">Pedro Alfa</t>
  </si>
  <si>
    <t xml:space="preserve">Pedro Beta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</si>
</sst>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#,##0.00"/>
    <numFmt numFmtId="167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23E7C"/>
        <bgColor rgb="FF355269"/>
      </patternFill>
    </fill>
    <fill>
      <patternFill patternType="solid">
        <fgColor rgb="FF3465A4"/>
        <bgColor rgb="FF355269"/>
      </patternFill>
    </fill>
    <fill>
      <patternFill patternType="solid">
        <fgColor rgb="FFEA7500"/>
        <bgColor rgb="FFFF9900"/>
      </patternFill>
    </fill>
    <fill>
      <patternFill patternType="solid">
        <fgColor rgb="FF5EB91E"/>
        <bgColor rgb="FF339966"/>
      </patternFill>
    </fill>
    <fill>
      <patternFill patternType="solid">
        <fgColor rgb="FF8D1D75"/>
        <bgColor rgb="FF993366"/>
      </patternFill>
    </fill>
    <fill>
      <patternFill patternType="solid">
        <fgColor rgb="FF355269"/>
        <bgColor rgb="FF3465A4"/>
      </patternFill>
    </fill>
    <fill>
      <patternFill patternType="solid">
        <fgColor rgb="FF224B12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exG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EA7500"/>
      <rgbColor rgb="FF3465A4"/>
      <rgbColor rgb="FF969696"/>
      <rgbColor rgb="FF123E7C"/>
      <rgbColor rgb="FF339966"/>
      <rgbColor rgb="FF003300"/>
      <rgbColor rgb="FF224B12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5"/>
  <sheetViews>
    <sheetView showFormulas="false" showGridLines="true" showRowColHeaders="true" showZeros="true" rightToLeft="false" tabSelected="true" showOutlineSymbols="true" defaultGridColor="true" view="normal" topLeftCell="R1" colorId="64" zoomScale="131" zoomScaleNormal="131" zoomScalePageLayoutView="100" workbookViewId="0">
      <pane xSplit="0" ySplit="1" topLeftCell="A58" activePane="bottomLeft" state="frozen"/>
      <selection pane="topLeft" activeCell="R1" activeCellId="0" sqref="R1"/>
      <selection pane="bottomLeft" activeCell="S67" activeCellId="0" sqref="S6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07"/>
    <col collapsed="false" customWidth="true" hidden="false" outlineLevel="0" max="4" min="3" style="1" width="13.54"/>
    <col collapsed="false" customWidth="true" hidden="false" outlineLevel="0" max="6" min="5" style="1" width="11.63"/>
    <col collapsed="false" customWidth="true" hidden="false" outlineLevel="0" max="7" min="7" style="1" width="15.82"/>
    <col collapsed="false" customWidth="true" hidden="false" outlineLevel="0" max="8" min="8" style="1" width="15.98"/>
    <col collapsed="false" customWidth="true" hidden="false" outlineLevel="0" max="9" min="9" style="1" width="17.36"/>
    <col collapsed="false" customWidth="true" hidden="false" outlineLevel="0" max="10" min="10" style="1" width="15.87"/>
    <col collapsed="false" customWidth="true" hidden="false" outlineLevel="0" max="11" min="11" style="1" width="19.81"/>
    <col collapsed="false" customWidth="true" hidden="false" outlineLevel="0" max="12" min="12" style="1" width="16.84"/>
    <col collapsed="false" customWidth="true" hidden="false" outlineLevel="0" max="13" min="13" style="1" width="15.56"/>
    <col collapsed="false" customWidth="true" hidden="false" outlineLevel="0" max="15" min="14" style="1" width="16.84"/>
    <col collapsed="false" customWidth="true" hidden="false" outlineLevel="0" max="16" min="16" style="1" width="25.85"/>
    <col collapsed="false" customWidth="true" hidden="false" outlineLevel="0" max="17" min="17" style="1" width="33.76"/>
    <col collapsed="false" customWidth="true" hidden="false" outlineLevel="0" max="18" min="18" style="1" width="33.52"/>
    <col collapsed="false" customWidth="true" hidden="false" outlineLevel="0" max="19" min="19" style="1" width="31.49"/>
    <col collapsed="false" customWidth="true" hidden="false" outlineLevel="0" max="20" min="20" style="1" width="23.31"/>
    <col collapsed="false" customWidth="true" hidden="false" outlineLevel="0" max="21" min="21" style="1" width="25.37"/>
    <col collapsed="false" customWidth="true" hidden="false" outlineLevel="0" max="22" min="22" style="1" width="8.39"/>
    <col collapsed="false" customWidth="true" hidden="false" outlineLevel="0" max="23" min="23" style="1" width="19.48"/>
    <col collapsed="false" customWidth="true" hidden="false" outlineLevel="0" max="25" min="25" style="0" width="22.57"/>
  </cols>
  <sheetData>
    <row r="1" s="6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4" t="s">
        <v>15</v>
      </c>
      <c r="R1" s="4" t="s">
        <v>16</v>
      </c>
      <c r="S1" s="4" t="s">
        <v>17</v>
      </c>
      <c r="T1" s="5" t="s">
        <v>18</v>
      </c>
      <c r="U1" s="5" t="s">
        <v>19</v>
      </c>
      <c r="Z1" s="0"/>
    </row>
    <row r="2" s="12" customFormat="true" ht="12.8" hidden="false" customHeight="false" outlineLevel="0" collapsed="false">
      <c r="A2" s="7" t="s">
        <v>20</v>
      </c>
      <c r="B2" s="8" t="n">
        <v>40909</v>
      </c>
      <c r="C2" s="9" t="n">
        <v>1</v>
      </c>
      <c r="D2" s="8" t="s">
        <v>21</v>
      </c>
      <c r="E2" s="8" t="s">
        <v>22</v>
      </c>
      <c r="F2" s="10" t="n">
        <v>124</v>
      </c>
      <c r="G2" s="10" t="n">
        <v>64.5161290322581</v>
      </c>
      <c r="H2" s="10" t="n">
        <v>59.4838709677419</v>
      </c>
      <c r="I2" s="11" t="s">
        <v>23</v>
      </c>
      <c r="J2" s="10" t="n">
        <v>124</v>
      </c>
      <c r="K2" s="10" t="n">
        <v>64.5161290322581</v>
      </c>
      <c r="L2" s="12" t="n">
        <v>8</v>
      </c>
      <c r="M2" s="12" t="n">
        <v>9</v>
      </c>
      <c r="N2" s="12" t="n">
        <v>-1</v>
      </c>
      <c r="O2" s="12" t="n">
        <v>0</v>
      </c>
      <c r="P2" s="13" t="n">
        <v>1.125</v>
      </c>
      <c r="Q2" s="12" t="n">
        <v>1.125</v>
      </c>
      <c r="R2" s="13" t="n">
        <f aca="false">P2/1</f>
        <v>1.125</v>
      </c>
      <c r="S2" s="12" t="n">
        <f aca="false">Q2/1</f>
        <v>1.125</v>
      </c>
      <c r="T2" s="12" t="n">
        <f aca="false">X3+X4*C2</f>
        <v>80.1534782608696</v>
      </c>
      <c r="U2" s="12" t="n">
        <f aca="false">T2*VLOOKUP(D2,$W$8:$Y$14,3,0)</f>
        <v>84.3901062011719</v>
      </c>
      <c r="Z2" s="14"/>
    </row>
    <row r="3" s="12" customFormat="true" ht="12.8" hidden="false" customHeight="false" outlineLevel="0" collapsed="false">
      <c r="A3" s="7" t="s">
        <v>20</v>
      </c>
      <c r="B3" s="8" t="n">
        <v>40910</v>
      </c>
      <c r="C3" s="9" t="n">
        <v>2</v>
      </c>
      <c r="D3" s="8" t="s">
        <v>24</v>
      </c>
      <c r="E3" s="8" t="s">
        <v>25</v>
      </c>
      <c r="F3" s="10" t="n">
        <v>30</v>
      </c>
      <c r="G3" s="10" t="n">
        <v>64.5161290322581</v>
      </c>
      <c r="H3" s="10" t="n">
        <v>-34.5161290322581</v>
      </c>
      <c r="I3" s="11" t="s">
        <v>26</v>
      </c>
      <c r="J3" s="10" t="n">
        <v>154</v>
      </c>
      <c r="K3" s="10" t="n">
        <v>129.032258064516</v>
      </c>
      <c r="L3" s="12" t="n">
        <v>8</v>
      </c>
      <c r="M3" s="12" t="n">
        <v>3</v>
      </c>
      <c r="N3" s="12" t="n">
        <v>5</v>
      </c>
      <c r="O3" s="12" t="n">
        <v>5</v>
      </c>
      <c r="P3" s="13" t="n">
        <v>0.375</v>
      </c>
      <c r="Q3" s="12" t="n">
        <v>0.375</v>
      </c>
      <c r="R3" s="13" t="n">
        <f aca="false">SUM(P2:P3)/2</f>
        <v>0.75</v>
      </c>
      <c r="S3" s="12" t="n">
        <f aca="false">SUM(Q2:Q3)/2</f>
        <v>0.75</v>
      </c>
      <c r="T3" s="12" t="n">
        <f aca="false">X3+X4*C3</f>
        <v>82.9044268774704</v>
      </c>
      <c r="U3" s="12" t="n">
        <f aca="false">T3*VLOOKUP(D3,$W$8:$Y$14,3,0)</f>
        <v>43.549373682643</v>
      </c>
      <c r="W3" s="12" t="s">
        <v>27</v>
      </c>
      <c r="X3" s="12" t="n">
        <f aca="false">INTERCEPT(F$2:F$24,C$2:C$24)</f>
        <v>77.4025296442688</v>
      </c>
      <c r="Z3" s="14"/>
    </row>
    <row r="4" s="12" customFormat="true" ht="12.8" hidden="false" customHeight="false" outlineLevel="0" collapsed="false">
      <c r="A4" s="7" t="s">
        <v>20</v>
      </c>
      <c r="B4" s="8" t="n">
        <v>40911</v>
      </c>
      <c r="C4" s="9" t="n">
        <v>3</v>
      </c>
      <c r="D4" s="8" t="s">
        <v>28</v>
      </c>
      <c r="E4" s="8" t="s">
        <v>25</v>
      </c>
      <c r="F4" s="10" t="n">
        <v>80</v>
      </c>
      <c r="G4" s="10" t="n">
        <v>64.5161290322581</v>
      </c>
      <c r="H4" s="10" t="n">
        <v>15.4838709677419</v>
      </c>
      <c r="I4" s="11" t="s">
        <v>23</v>
      </c>
      <c r="J4" s="10" t="n">
        <v>234</v>
      </c>
      <c r="K4" s="10" t="n">
        <v>193.548387096774</v>
      </c>
      <c r="L4" s="12" t="n">
        <v>6</v>
      </c>
      <c r="M4" s="12" t="n">
        <v>3</v>
      </c>
      <c r="N4" s="12" t="n">
        <v>3</v>
      </c>
      <c r="O4" s="12" t="n">
        <v>3</v>
      </c>
      <c r="P4" s="13" t="n">
        <v>0.5</v>
      </c>
      <c r="Q4" s="12" t="n">
        <v>0.5</v>
      </c>
      <c r="R4" s="13" t="n">
        <f aca="false">SUM(P2:P4)/3</f>
        <v>0.666666666666667</v>
      </c>
      <c r="S4" s="12" t="n">
        <f aca="false">SUM(Q2:Q4)/3</f>
        <v>0.666666666666667</v>
      </c>
      <c r="T4" s="12" t="n">
        <f aca="false">X3+X4*C4</f>
        <v>85.6553754940712</v>
      </c>
      <c r="U4" s="12" t="n">
        <f aca="false">T4*VLOOKUP(D4,$W$8:$Y$14,3,0)</f>
        <v>53.1451525938569</v>
      </c>
      <c r="W4" s="12" t="s">
        <v>29</v>
      </c>
      <c r="X4" s="12" t="n">
        <f aca="false">SLOPE(F$2:F$24,C$2:C$24)</f>
        <v>2.75094861660079</v>
      </c>
      <c r="Z4" s="14"/>
    </row>
    <row r="5" s="12" customFormat="true" ht="12.8" hidden="false" customHeight="false" outlineLevel="0" collapsed="false">
      <c r="A5" s="7" t="s">
        <v>20</v>
      </c>
      <c r="B5" s="8" t="n">
        <v>40912</v>
      </c>
      <c r="C5" s="9" t="n">
        <v>4</v>
      </c>
      <c r="D5" s="8" t="s">
        <v>30</v>
      </c>
      <c r="E5" s="8" t="s">
        <v>25</v>
      </c>
      <c r="F5" s="10" t="n">
        <v>90</v>
      </c>
      <c r="G5" s="10" t="n">
        <v>64.5161290322581</v>
      </c>
      <c r="H5" s="10" t="n">
        <v>25.4838709677419</v>
      </c>
      <c r="I5" s="11" t="s">
        <v>23</v>
      </c>
      <c r="J5" s="10" t="n">
        <v>324</v>
      </c>
      <c r="K5" s="10" t="n">
        <v>258.064516129032</v>
      </c>
      <c r="L5" s="12" t="n">
        <v>4</v>
      </c>
      <c r="M5" s="12" t="n">
        <v>4</v>
      </c>
      <c r="N5" s="12" t="n">
        <v>0</v>
      </c>
      <c r="O5" s="12" t="n">
        <v>0</v>
      </c>
      <c r="P5" s="13" t="n">
        <v>1</v>
      </c>
      <c r="Q5" s="12" t="n">
        <v>1</v>
      </c>
      <c r="R5" s="13" t="n">
        <f aca="false">SUM(P2:P5)/4</f>
        <v>0.75</v>
      </c>
      <c r="S5" s="12" t="n">
        <f aca="false">SUM(Q2:Q5)/4</f>
        <v>0.75</v>
      </c>
      <c r="T5" s="12" t="n">
        <f aca="false">$X$3+$X$4*C5</f>
        <v>88.406324110672</v>
      </c>
      <c r="U5" s="12" t="n">
        <f aca="false">T5*VLOOKUP(D5,$W$8:$Y$14,3,0)</f>
        <v>69.3923547470675</v>
      </c>
      <c r="W5" s="12" t="s">
        <v>31</v>
      </c>
      <c r="X5" s="12" t="n">
        <f aca="false">SUM(F2:F24)/23</f>
        <v>110.413913043478</v>
      </c>
      <c r="Z5" s="14"/>
    </row>
    <row r="6" s="12" customFormat="true" ht="12.8" hidden="false" customHeight="false" outlineLevel="0" collapsed="false">
      <c r="A6" s="7" t="s">
        <v>20</v>
      </c>
      <c r="B6" s="8" t="n">
        <v>40913</v>
      </c>
      <c r="C6" s="9" t="n">
        <v>5</v>
      </c>
      <c r="D6" s="8" t="s">
        <v>32</v>
      </c>
      <c r="E6" s="8" t="s">
        <v>25</v>
      </c>
      <c r="F6" s="10" t="n">
        <v>20</v>
      </c>
      <c r="G6" s="10" t="n">
        <v>64.5161290322581</v>
      </c>
      <c r="H6" s="10" t="n">
        <v>-44.5161290322581</v>
      </c>
      <c r="I6" s="11" t="s">
        <v>26</v>
      </c>
      <c r="J6" s="10" t="n">
        <v>344</v>
      </c>
      <c r="K6" s="10" t="n">
        <v>322.58064516129</v>
      </c>
      <c r="L6" s="12" t="n">
        <v>3</v>
      </c>
      <c r="M6" s="12" t="n">
        <v>7</v>
      </c>
      <c r="N6" s="12" t="n">
        <v>-4</v>
      </c>
      <c r="O6" s="12" t="n">
        <v>0</v>
      </c>
      <c r="P6" s="13" t="n">
        <v>2.33333333333333</v>
      </c>
      <c r="Q6" s="12" t="n">
        <v>2.33333333333333</v>
      </c>
      <c r="R6" s="13" t="n">
        <f aca="false">SUM(P2:P6)/5</f>
        <v>1.06666666666667</v>
      </c>
      <c r="S6" s="12" t="n">
        <f aca="false">SUM(Q2:Q6)/5</f>
        <v>1.06666666666667</v>
      </c>
      <c r="T6" s="12" t="n">
        <f aca="false">$X$3+$X$4*C6</f>
        <v>91.1572727272727</v>
      </c>
      <c r="U6" s="12" t="n">
        <f aca="false">T6*VLOOKUP(D6,$W$8:$Y$14,3,0)</f>
        <v>30.2718492733535</v>
      </c>
      <c r="Z6" s="14"/>
    </row>
    <row r="7" s="12" customFormat="true" ht="12.8" hidden="false" customHeight="false" outlineLevel="0" collapsed="false">
      <c r="A7" s="7" t="s">
        <v>20</v>
      </c>
      <c r="B7" s="8" t="n">
        <v>40914</v>
      </c>
      <c r="C7" s="9" t="n">
        <v>6</v>
      </c>
      <c r="D7" s="8" t="s">
        <v>33</v>
      </c>
      <c r="E7" s="8" t="s">
        <v>25</v>
      </c>
      <c r="F7" s="10" t="n">
        <v>200</v>
      </c>
      <c r="G7" s="10" t="n">
        <v>64.5161290322581</v>
      </c>
      <c r="H7" s="10" t="n">
        <v>135.483870967742</v>
      </c>
      <c r="I7" s="11" t="s">
        <v>23</v>
      </c>
      <c r="J7" s="10" t="n">
        <v>544</v>
      </c>
      <c r="K7" s="10" t="n">
        <v>387.096774193548</v>
      </c>
      <c r="L7" s="12" t="n">
        <v>7</v>
      </c>
      <c r="M7" s="12" t="n">
        <v>5</v>
      </c>
      <c r="N7" s="12" t="n">
        <v>2</v>
      </c>
      <c r="O7" s="12" t="n">
        <v>2</v>
      </c>
      <c r="P7" s="13" t="n">
        <v>0.714285714285714</v>
      </c>
      <c r="Q7" s="12" t="n">
        <v>0.714285714285714</v>
      </c>
      <c r="R7" s="13" t="n">
        <f aca="false">SUM(P2:P7)/6</f>
        <v>1.00793650793651</v>
      </c>
      <c r="S7" s="12" t="n">
        <f aca="false">SUM(Q2:Q7)/6</f>
        <v>1.00793650793651</v>
      </c>
      <c r="T7" s="12" t="n">
        <f aca="false">$X$3+$X$4*C7</f>
        <v>93.9082213438735</v>
      </c>
      <c r="U7" s="12" t="n">
        <f aca="false">T7*VLOOKUP(D7,$W$8:$Y$14,3,0)</f>
        <v>159.329016125214</v>
      </c>
      <c r="W7" s="15" t="s">
        <v>34</v>
      </c>
      <c r="X7" s="15"/>
      <c r="Y7" s="9" t="s">
        <v>35</v>
      </c>
      <c r="Z7" s="14"/>
    </row>
    <row r="8" s="12" customFormat="true" ht="12.8" hidden="false" customHeight="false" outlineLevel="0" collapsed="false">
      <c r="A8" s="7" t="s">
        <v>20</v>
      </c>
      <c r="B8" s="8" t="n">
        <v>40915</v>
      </c>
      <c r="C8" s="9" t="n">
        <v>7</v>
      </c>
      <c r="D8" s="8" t="s">
        <v>36</v>
      </c>
      <c r="E8" s="8" t="s">
        <v>22</v>
      </c>
      <c r="F8" s="10" t="n">
        <v>407</v>
      </c>
      <c r="G8" s="10" t="n">
        <v>64.5161290322581</v>
      </c>
      <c r="H8" s="10" t="n">
        <v>342.483870967742</v>
      </c>
      <c r="I8" s="11" t="s">
        <v>23</v>
      </c>
      <c r="J8" s="10" t="n">
        <v>951</v>
      </c>
      <c r="K8" s="10" t="n">
        <v>451.612903225805</v>
      </c>
      <c r="L8" s="12" t="n">
        <v>5</v>
      </c>
      <c r="M8" s="12" t="n">
        <v>7</v>
      </c>
      <c r="N8" s="12" t="n">
        <v>-2</v>
      </c>
      <c r="O8" s="12" t="n">
        <v>0</v>
      </c>
      <c r="P8" s="13" t="n">
        <v>1.4</v>
      </c>
      <c r="Q8" s="12" t="n">
        <v>1.4</v>
      </c>
      <c r="R8" s="13" t="n">
        <f aca="false">SUM(P2:P8)/7</f>
        <v>1.06394557823129</v>
      </c>
      <c r="S8" s="12" t="n">
        <f aca="false">SUM(Q2:Q8)/7</f>
        <v>1.06394557823129</v>
      </c>
      <c r="T8" s="12" t="n">
        <f aca="false">$X$3+$X$4*C8</f>
        <v>96.6591699604743</v>
      </c>
      <c r="U8" s="12" t="n">
        <f aca="false">T8*VLOOKUP(D8,$W$8:$Y$14,3,0)</f>
        <v>205.725024270872</v>
      </c>
      <c r="W8" s="12" t="s">
        <v>21</v>
      </c>
      <c r="X8" s="12" t="n">
        <f aca="false">(F2+F9+F16+F23)/4</f>
        <v>116.25</v>
      </c>
      <c r="Y8" s="12" t="n">
        <f aca="false">X8/$X$5</f>
        <v>1.0528564453125</v>
      </c>
      <c r="Z8" s="14"/>
    </row>
    <row r="9" s="12" customFormat="true" ht="12.8" hidden="false" customHeight="false" outlineLevel="0" collapsed="false">
      <c r="A9" s="7" t="s">
        <v>20</v>
      </c>
      <c r="B9" s="8" t="n">
        <v>40916</v>
      </c>
      <c r="C9" s="9" t="n">
        <v>8</v>
      </c>
      <c r="D9" s="8" t="s">
        <v>21</v>
      </c>
      <c r="E9" s="8" t="s">
        <v>22</v>
      </c>
      <c r="F9" s="10" t="n">
        <v>12</v>
      </c>
      <c r="G9" s="10" t="n">
        <v>64.5161290322581</v>
      </c>
      <c r="H9" s="10" t="n">
        <v>-52.5161290322581</v>
      </c>
      <c r="I9" s="11" t="s">
        <v>26</v>
      </c>
      <c r="J9" s="10" t="n">
        <v>963</v>
      </c>
      <c r="K9" s="10" t="n">
        <v>516.129032258063</v>
      </c>
      <c r="L9" s="12" t="n">
        <v>3</v>
      </c>
      <c r="M9" s="12" t="n">
        <v>1</v>
      </c>
      <c r="N9" s="12" t="n">
        <v>2</v>
      </c>
      <c r="O9" s="12" t="n">
        <v>2</v>
      </c>
      <c r="P9" s="13" t="n">
        <v>0.333333333333333</v>
      </c>
      <c r="Q9" s="12" t="n">
        <v>0.333333333333333</v>
      </c>
      <c r="R9" s="13" t="n">
        <f aca="false">SUM(P2:P9)/8</f>
        <v>0.972619047619047</v>
      </c>
      <c r="S9" s="12" t="n">
        <f aca="false">SUM(Q2:Q9)/8</f>
        <v>0.972619047619047</v>
      </c>
      <c r="T9" s="12" t="n">
        <f aca="false">$X$3+$X$4*C9</f>
        <v>99.4101185770751</v>
      </c>
      <c r="U9" s="12" t="n">
        <f aca="false">T9*VLOOKUP(D9,$W$8:$Y$14,3,0)</f>
        <v>104.664584073153</v>
      </c>
      <c r="W9" s="12" t="s">
        <v>24</v>
      </c>
      <c r="X9" s="12" t="n">
        <f aca="false">(F3+F10+F17+F24)/4</f>
        <v>58</v>
      </c>
      <c r="Y9" s="12" t="n">
        <f aca="false">X9/$X$5</f>
        <v>0.525296118951613</v>
      </c>
      <c r="Z9" s="14"/>
    </row>
    <row r="10" s="12" customFormat="true" ht="12.8" hidden="false" customHeight="false" outlineLevel="0" collapsed="false">
      <c r="A10" s="7" t="s">
        <v>20</v>
      </c>
      <c r="B10" s="8" t="n">
        <v>40917</v>
      </c>
      <c r="C10" s="9" t="n">
        <v>9</v>
      </c>
      <c r="D10" s="8" t="s">
        <v>24</v>
      </c>
      <c r="E10" s="8" t="s">
        <v>25</v>
      </c>
      <c r="F10" s="10" t="n">
        <v>67</v>
      </c>
      <c r="G10" s="10" t="n">
        <v>64.5161290322581</v>
      </c>
      <c r="H10" s="10" t="n">
        <v>2.48387096774194</v>
      </c>
      <c r="I10" s="11" t="s">
        <v>23</v>
      </c>
      <c r="J10" s="10" t="n">
        <v>1030</v>
      </c>
      <c r="K10" s="10" t="n">
        <v>580.645161290321</v>
      </c>
      <c r="L10" s="12" t="n">
        <v>1</v>
      </c>
      <c r="M10" s="12" t="n">
        <v>1</v>
      </c>
      <c r="N10" s="12" t="n">
        <v>0</v>
      </c>
      <c r="O10" s="12" t="n">
        <v>0</v>
      </c>
      <c r="P10" s="13" t="n">
        <v>1</v>
      </c>
      <c r="Q10" s="12" t="n">
        <v>1</v>
      </c>
      <c r="R10" s="13" t="n">
        <f aca="false">SUM(P2:P10)/9</f>
        <v>0.975661375661375</v>
      </c>
      <c r="S10" s="12" t="n">
        <f aca="false">SUM(Q2:Q10)/9</f>
        <v>0.975661375661375</v>
      </c>
      <c r="T10" s="12" t="n">
        <f aca="false">$X$3+$X$4*C10</f>
        <v>102.161067193676</v>
      </c>
      <c r="U10" s="12" t="n">
        <f aca="false">T10*VLOOKUP(D10,$W$8:$Y$14,3,0)</f>
        <v>53.6648121047929</v>
      </c>
      <c r="W10" s="12" t="s">
        <v>28</v>
      </c>
      <c r="X10" s="12" t="n">
        <f aca="false">(F4+F11+F18)/3</f>
        <v>68.5066666666667</v>
      </c>
      <c r="Y10" s="12" t="n">
        <f aca="false">X10/$X$5</f>
        <v>0.620453209005376</v>
      </c>
      <c r="Z10" s="14"/>
    </row>
    <row r="11" s="12" customFormat="true" ht="12.8" hidden="false" customHeight="false" outlineLevel="0" collapsed="false">
      <c r="A11" s="7" t="s">
        <v>20</v>
      </c>
      <c r="B11" s="8" t="n">
        <v>40918</v>
      </c>
      <c r="C11" s="9" t="n">
        <v>10</v>
      </c>
      <c r="D11" s="8" t="s">
        <v>28</v>
      </c>
      <c r="E11" s="8" t="s">
        <v>25</v>
      </c>
      <c r="F11" s="10" t="n">
        <v>45.52</v>
      </c>
      <c r="G11" s="10" t="n">
        <v>64.5161290322581</v>
      </c>
      <c r="H11" s="10" t="n">
        <v>-18.9961290322581</v>
      </c>
      <c r="I11" s="11" t="s">
        <v>26</v>
      </c>
      <c r="J11" s="10" t="n">
        <v>1075.52</v>
      </c>
      <c r="K11" s="10" t="n">
        <v>645.161290322579</v>
      </c>
      <c r="L11" s="12" t="n">
        <v>5</v>
      </c>
      <c r="M11" s="12" t="n">
        <v>6</v>
      </c>
      <c r="N11" s="12" t="n">
        <v>-1</v>
      </c>
      <c r="O11" s="12" t="n">
        <v>0</v>
      </c>
      <c r="P11" s="13" t="n">
        <v>1.2</v>
      </c>
      <c r="Q11" s="12" t="n">
        <v>1.2</v>
      </c>
      <c r="R11" s="13" t="n">
        <f aca="false">SUM(P2:P11)/10</f>
        <v>0.998095238095238</v>
      </c>
      <c r="S11" s="12" t="n">
        <f aca="false">SUM(Q2:Q11)/10</f>
        <v>0.998095238095238</v>
      </c>
      <c r="T11" s="12" t="n">
        <f aca="false">$X$3+$X$4*C11</f>
        <v>104.912015810277</v>
      </c>
      <c r="U11" s="12" t="n">
        <f aca="false">T11*VLOOKUP(D11,$W$8:$Y$14,3,0)</f>
        <v>65.092996872709</v>
      </c>
      <c r="W11" s="12" t="s">
        <v>30</v>
      </c>
      <c r="X11" s="12" t="n">
        <f aca="false">(F5+F12+F19)/3</f>
        <v>86.6666666666667</v>
      </c>
      <c r="Y11" s="12" t="n">
        <f aca="false">X11/$X$5</f>
        <v>0.784925235215054</v>
      </c>
      <c r="Z11" s="14"/>
    </row>
    <row r="12" s="12" customFormat="true" ht="12.8" hidden="false" customHeight="false" outlineLevel="0" collapsed="false">
      <c r="A12" s="7" t="s">
        <v>20</v>
      </c>
      <c r="B12" s="8" t="n">
        <v>40919</v>
      </c>
      <c r="C12" s="9" t="n">
        <v>11</v>
      </c>
      <c r="D12" s="8" t="s">
        <v>30</v>
      </c>
      <c r="E12" s="8" t="s">
        <v>25</v>
      </c>
      <c r="F12" s="10" t="n">
        <v>80</v>
      </c>
      <c r="G12" s="10" t="n">
        <v>64.5161290322581</v>
      </c>
      <c r="H12" s="10" t="n">
        <v>15.4838709677419</v>
      </c>
      <c r="I12" s="11" t="s">
        <v>23</v>
      </c>
      <c r="J12" s="10" t="n">
        <v>1155.52</v>
      </c>
      <c r="K12" s="10" t="n">
        <v>709.677419354837</v>
      </c>
      <c r="L12" s="12" t="n">
        <v>1</v>
      </c>
      <c r="M12" s="12" t="n">
        <v>4</v>
      </c>
      <c r="N12" s="12" t="n">
        <v>-3</v>
      </c>
      <c r="O12" s="12" t="n">
        <v>0</v>
      </c>
      <c r="P12" s="13" t="n">
        <v>4</v>
      </c>
      <c r="Q12" s="12" t="n">
        <v>4</v>
      </c>
      <c r="R12" s="13" t="n">
        <f aca="false">SUM(P2:P12)/11</f>
        <v>1.27099567099567</v>
      </c>
      <c r="S12" s="12" t="n">
        <f aca="false">SUM(Q2:Q12)/11</f>
        <v>1.27099567099567</v>
      </c>
      <c r="T12" s="12" t="n">
        <f aca="false">$X$3+$X$4*C12</f>
        <v>107.662964426877</v>
      </c>
      <c r="U12" s="12" t="n">
        <f aca="false">T12*VLOOKUP(D12,$W$8:$Y$14,3,0)</f>
        <v>84.5073776767168</v>
      </c>
      <c r="W12" s="12" t="s">
        <v>32</v>
      </c>
      <c r="X12" s="12" t="n">
        <f aca="false">(F6+F13+F20)/3</f>
        <v>36.6666666666667</v>
      </c>
      <c r="Y12" s="12" t="n">
        <f aca="false">X12/$X$5</f>
        <v>0.332083753360215</v>
      </c>
      <c r="Z12" s="14"/>
    </row>
    <row r="13" s="12" customFormat="true" ht="12.8" hidden="false" customHeight="false" outlineLevel="0" collapsed="false">
      <c r="A13" s="7" t="s">
        <v>20</v>
      </c>
      <c r="B13" s="8" t="n">
        <v>40920</v>
      </c>
      <c r="C13" s="9" t="n">
        <v>12</v>
      </c>
      <c r="D13" s="8" t="s">
        <v>32</v>
      </c>
      <c r="E13" s="8" t="s">
        <v>25</v>
      </c>
      <c r="F13" s="10" t="n">
        <v>70</v>
      </c>
      <c r="G13" s="10" t="n">
        <v>64.5161290322581</v>
      </c>
      <c r="H13" s="10" t="n">
        <v>5.48387096774194</v>
      </c>
      <c r="I13" s="11" t="s">
        <v>23</v>
      </c>
      <c r="J13" s="10" t="n">
        <v>1225.52</v>
      </c>
      <c r="K13" s="10" t="n">
        <v>774.193548387095</v>
      </c>
      <c r="L13" s="12" t="n">
        <v>9</v>
      </c>
      <c r="M13" s="12" t="n">
        <v>5</v>
      </c>
      <c r="N13" s="12" t="n">
        <v>4</v>
      </c>
      <c r="O13" s="12" t="n">
        <v>4</v>
      </c>
      <c r="P13" s="13" t="n">
        <v>0.555555555555556</v>
      </c>
      <c r="Q13" s="12" t="n">
        <v>0.555555555555556</v>
      </c>
      <c r="R13" s="13" t="n">
        <f aca="false">SUM(P2:P13)/12</f>
        <v>1.21137566137566</v>
      </c>
      <c r="S13" s="12" t="n">
        <f aca="false">SUM(Q2:Q13)/12</f>
        <v>1.21137566137566</v>
      </c>
      <c r="T13" s="12" t="n">
        <f aca="false">$X$3+$X$4*C13</f>
        <v>110.413913043478</v>
      </c>
      <c r="U13" s="12" t="n">
        <f aca="false">T13*VLOOKUP(D13,$W$8:$Y$14,3,0)</f>
        <v>36.6666666666667</v>
      </c>
      <c r="W13" s="12" t="s">
        <v>33</v>
      </c>
      <c r="X13" s="12" t="n">
        <f aca="false">(F7+F14+F21)/3</f>
        <v>187.333333333333</v>
      </c>
      <c r="Y13" s="12" t="n">
        <f aca="false">X13/$X$5</f>
        <v>1.69664608534946</v>
      </c>
      <c r="Z13" s="14"/>
    </row>
    <row r="14" s="12" customFormat="true" ht="12.8" hidden="false" customHeight="false" outlineLevel="0" collapsed="false">
      <c r="A14" s="7" t="s">
        <v>20</v>
      </c>
      <c r="B14" s="8" t="n">
        <v>40921</v>
      </c>
      <c r="C14" s="9" t="n">
        <v>13</v>
      </c>
      <c r="D14" s="8" t="s">
        <v>33</v>
      </c>
      <c r="E14" s="8" t="s">
        <v>25</v>
      </c>
      <c r="F14" s="10" t="n">
        <v>50</v>
      </c>
      <c r="G14" s="10" t="n">
        <v>64.5161290322581</v>
      </c>
      <c r="H14" s="10" t="n">
        <v>-14.5161290322581</v>
      </c>
      <c r="I14" s="11" t="s">
        <v>26</v>
      </c>
      <c r="J14" s="10" t="n">
        <v>1275.52</v>
      </c>
      <c r="K14" s="10" t="n">
        <v>838.709677419353</v>
      </c>
      <c r="L14" s="12" t="n">
        <v>3</v>
      </c>
      <c r="M14" s="12" t="n">
        <v>3</v>
      </c>
      <c r="N14" s="12" t="n">
        <v>0</v>
      </c>
      <c r="O14" s="12" t="n">
        <v>0</v>
      </c>
      <c r="P14" s="13" t="n">
        <v>1</v>
      </c>
      <c r="Q14" s="12" t="n">
        <v>1</v>
      </c>
      <c r="R14" s="13" t="n">
        <f aca="false">SUM(P2:P14)/13</f>
        <v>1.19511599511599</v>
      </c>
      <c r="S14" s="12" t="n">
        <f aca="false">SUM(Q2:Q14)/13</f>
        <v>1.19511599511599</v>
      </c>
      <c r="T14" s="12" t="n">
        <f aca="false">$X$3+$X$4*C14</f>
        <v>113.164861660079</v>
      </c>
      <c r="U14" s="12" t="n">
        <f aca="false">T14*VLOOKUP(D14,$W$8:$Y$14,3,0)</f>
        <v>192.000719534687</v>
      </c>
      <c r="W14" s="12" t="s">
        <v>36</v>
      </c>
      <c r="X14" s="12" t="n">
        <f aca="false">(F8+F15+F22)/3</f>
        <v>235</v>
      </c>
      <c r="Y14" s="12" t="n">
        <f aca="false">X14/$X$5</f>
        <v>2.12835496471774</v>
      </c>
      <c r="Z14" s="14"/>
    </row>
    <row r="15" s="12" customFormat="true" ht="12.8" hidden="false" customHeight="false" outlineLevel="0" collapsed="false">
      <c r="A15" s="7" t="s">
        <v>20</v>
      </c>
      <c r="B15" s="8" t="n">
        <v>40922</v>
      </c>
      <c r="C15" s="9" t="n">
        <v>14</v>
      </c>
      <c r="D15" s="8" t="s">
        <v>36</v>
      </c>
      <c r="E15" s="8" t="s">
        <v>22</v>
      </c>
      <c r="F15" s="10" t="n">
        <v>90</v>
      </c>
      <c r="G15" s="10" t="n">
        <v>64.5161290322581</v>
      </c>
      <c r="H15" s="10" t="n">
        <v>25.4838709677419</v>
      </c>
      <c r="I15" s="11" t="s">
        <v>23</v>
      </c>
      <c r="J15" s="10" t="n">
        <v>1365.52</v>
      </c>
      <c r="K15" s="10" t="n">
        <v>903.22580645161</v>
      </c>
      <c r="L15" s="12" t="n">
        <v>5</v>
      </c>
      <c r="M15" s="12" t="n">
        <v>6</v>
      </c>
      <c r="N15" s="12" t="n">
        <v>-1</v>
      </c>
      <c r="O15" s="12" t="n">
        <v>0</v>
      </c>
      <c r="P15" s="13" t="n">
        <v>1.2</v>
      </c>
      <c r="Q15" s="12" t="n">
        <v>1.2</v>
      </c>
      <c r="R15" s="13" t="n">
        <f aca="false">SUM(P2:P15)/14</f>
        <v>1.19546485260771</v>
      </c>
      <c r="S15" s="12" t="n">
        <f aca="false">SUM(Q2:Q15)/14</f>
        <v>1.19546485260771</v>
      </c>
      <c r="T15" s="12" t="n">
        <f aca="false">$X$3+$X$4*C15</f>
        <v>115.91581027668</v>
      </c>
      <c r="U15" s="12" t="n">
        <f aca="false">T15*VLOOKUP(D15,$W$8:$Y$14,3,0)</f>
        <v>246.709990291651</v>
      </c>
      <c r="Z15" s="14"/>
    </row>
    <row r="16" s="12" customFormat="true" ht="12.8" hidden="false" customHeight="false" outlineLevel="0" collapsed="false">
      <c r="A16" s="7" t="s">
        <v>20</v>
      </c>
      <c r="B16" s="8" t="n">
        <v>40923</v>
      </c>
      <c r="C16" s="9" t="n">
        <v>15</v>
      </c>
      <c r="D16" s="8" t="s">
        <v>21</v>
      </c>
      <c r="E16" s="8" t="s">
        <v>22</v>
      </c>
      <c r="F16" s="10" t="n">
        <v>80</v>
      </c>
      <c r="G16" s="10" t="n">
        <v>64.5161290322581</v>
      </c>
      <c r="H16" s="10" t="n">
        <v>15.4838709677419</v>
      </c>
      <c r="I16" s="11" t="s">
        <v>23</v>
      </c>
      <c r="J16" s="10" t="n">
        <v>1445.52</v>
      </c>
      <c r="K16" s="10" t="n">
        <v>967.741935483869</v>
      </c>
      <c r="L16" s="12" t="n">
        <v>1</v>
      </c>
      <c r="M16" s="12" t="n">
        <v>4</v>
      </c>
      <c r="N16" s="12" t="n">
        <v>-3</v>
      </c>
      <c r="O16" s="12" t="n">
        <v>0</v>
      </c>
      <c r="P16" s="13" t="n">
        <v>4</v>
      </c>
      <c r="Q16" s="12" t="n">
        <v>4</v>
      </c>
      <c r="R16" s="13" t="n">
        <f aca="false">SUM(P2:P16)/15</f>
        <v>1.38243386243386</v>
      </c>
      <c r="S16" s="12" t="n">
        <f aca="false">SUM(Q2:Q16)/15</f>
        <v>1.38243386243386</v>
      </c>
      <c r="T16" s="12" t="n">
        <f aca="false">$X$3+$X$4*C16</f>
        <v>118.666758893281</v>
      </c>
      <c r="U16" s="12" t="n">
        <f aca="false">T16*VLOOKUP(D16,$W$8:$Y$14,3,0)</f>
        <v>124.939061945135</v>
      </c>
      <c r="W16" s="12" t="s">
        <v>22</v>
      </c>
      <c r="X16" s="12" t="n">
        <f aca="false">(X14+X8)/2</f>
        <v>175.625</v>
      </c>
      <c r="Z16" s="14"/>
    </row>
    <row r="17" s="12" customFormat="true" ht="12.8" hidden="false" customHeight="false" outlineLevel="0" collapsed="false">
      <c r="A17" s="7" t="s">
        <v>20</v>
      </c>
      <c r="B17" s="8" t="n">
        <v>40924</v>
      </c>
      <c r="C17" s="9" t="n">
        <v>16</v>
      </c>
      <c r="D17" s="8" t="s">
        <v>24</v>
      </c>
      <c r="E17" s="8" t="s">
        <v>25</v>
      </c>
      <c r="F17" s="10" t="n">
        <v>30</v>
      </c>
      <c r="G17" s="10" t="n">
        <v>64.5161290322581</v>
      </c>
      <c r="H17" s="10" t="n">
        <v>-34.5161290322581</v>
      </c>
      <c r="I17" s="11" t="s">
        <v>26</v>
      </c>
      <c r="J17" s="10" t="n">
        <v>1475.52</v>
      </c>
      <c r="K17" s="10" t="n">
        <v>1032.25806451613</v>
      </c>
      <c r="L17" s="12" t="n">
        <v>9</v>
      </c>
      <c r="M17" s="12" t="n">
        <v>5</v>
      </c>
      <c r="N17" s="12" t="n">
        <v>4</v>
      </c>
      <c r="O17" s="12" t="n">
        <v>4</v>
      </c>
      <c r="P17" s="13" t="n">
        <v>0.555555555555556</v>
      </c>
      <c r="Q17" s="12" t="n">
        <v>0.555555555555556</v>
      </c>
      <c r="R17" s="13" t="n">
        <f aca="false">SUM(P2:P17)/16</f>
        <v>1.33075396825397</v>
      </c>
      <c r="S17" s="12" t="n">
        <f aca="false">SUM(Q2:Q17)/16</f>
        <v>1.33075396825397</v>
      </c>
      <c r="T17" s="12" t="n">
        <f aca="false">$X$3+$X$4*C17</f>
        <v>121.417707509881</v>
      </c>
      <c r="U17" s="12" t="n">
        <f aca="false">T17*VLOOKUP(D17,$W$8:$Y$14,3,0)</f>
        <v>63.7802505269428</v>
      </c>
      <c r="W17" s="12" t="s">
        <v>25</v>
      </c>
      <c r="X17" s="12" t="n">
        <f aca="false">(X9+X10+X11+X12+X13)/5</f>
        <v>87.4346666666667</v>
      </c>
      <c r="Z17" s="14"/>
    </row>
    <row r="18" s="12" customFormat="true" ht="12.8" hidden="false" customHeight="false" outlineLevel="0" collapsed="false">
      <c r="A18" s="7" t="s">
        <v>20</v>
      </c>
      <c r="B18" s="8" t="n">
        <v>40925</v>
      </c>
      <c r="C18" s="9" t="n">
        <v>17</v>
      </c>
      <c r="D18" s="8" t="s">
        <v>28</v>
      </c>
      <c r="E18" s="8" t="s">
        <v>25</v>
      </c>
      <c r="F18" s="10" t="n">
        <v>80</v>
      </c>
      <c r="G18" s="10" t="n">
        <v>64.5161290322581</v>
      </c>
      <c r="H18" s="10" t="n">
        <v>15.4838709677419</v>
      </c>
      <c r="I18" s="11" t="s">
        <v>23</v>
      </c>
      <c r="J18" s="10" t="n">
        <v>1555.52</v>
      </c>
      <c r="K18" s="10" t="n">
        <v>1096.77419354838</v>
      </c>
      <c r="L18" s="12" t="n">
        <v>3</v>
      </c>
      <c r="M18" s="12" t="n">
        <v>4</v>
      </c>
      <c r="N18" s="12" t="n">
        <v>-1</v>
      </c>
      <c r="O18" s="12" t="n">
        <v>0</v>
      </c>
      <c r="P18" s="13" t="n">
        <v>1.33333333333333</v>
      </c>
      <c r="Q18" s="12" t="n">
        <v>1.33333333333333</v>
      </c>
      <c r="R18" s="13" t="n">
        <f aca="false">SUM(P2:P18)/17</f>
        <v>1.33090569561158</v>
      </c>
      <c r="S18" s="12" t="n">
        <f aca="false">SUM(Q2:Q18)/17</f>
        <v>1.33090569561158</v>
      </c>
      <c r="T18" s="12" t="n">
        <f aca="false">$X$3+$X$4*C18</f>
        <v>124.168656126482</v>
      </c>
      <c r="U18" s="12" t="n">
        <f aca="false">T18*VLOOKUP(D18,$W$8:$Y$14,3,0)</f>
        <v>77.040841151561</v>
      </c>
      <c r="Z18" s="14"/>
    </row>
    <row r="19" s="12" customFormat="true" ht="12.8" hidden="false" customHeight="false" outlineLevel="0" collapsed="false">
      <c r="A19" s="7" t="s">
        <v>20</v>
      </c>
      <c r="B19" s="8" t="n">
        <v>40926</v>
      </c>
      <c r="C19" s="9" t="n">
        <v>18</v>
      </c>
      <c r="D19" s="8" t="s">
        <v>30</v>
      </c>
      <c r="E19" s="8" t="s">
        <v>25</v>
      </c>
      <c r="F19" s="10" t="n">
        <v>90</v>
      </c>
      <c r="G19" s="10" t="n">
        <v>64.5161290322581</v>
      </c>
      <c r="H19" s="10" t="n">
        <v>25.4838709677419</v>
      </c>
      <c r="I19" s="11" t="s">
        <v>23</v>
      </c>
      <c r="J19" s="10" t="n">
        <v>1645.52</v>
      </c>
      <c r="K19" s="10" t="n">
        <v>1161.29032258064</v>
      </c>
      <c r="L19" s="12" t="n">
        <v>1</v>
      </c>
      <c r="M19" s="12" t="n">
        <v>1</v>
      </c>
      <c r="N19" s="12" t="n">
        <v>0</v>
      </c>
      <c r="O19" s="12" t="n">
        <v>0</v>
      </c>
      <c r="P19" s="13" t="n">
        <v>1</v>
      </c>
      <c r="Q19" s="12" t="n">
        <v>1</v>
      </c>
      <c r="R19" s="13" t="n">
        <f aca="false">SUM(P2:P19)/18</f>
        <v>1.31252204585538</v>
      </c>
      <c r="S19" s="12" t="n">
        <f aca="false">SUM(Q2:Q19)/18</f>
        <v>1.31252204585538</v>
      </c>
      <c r="T19" s="12" t="n">
        <f aca="false">$X$3+$X$4*C19</f>
        <v>126.919604743083</v>
      </c>
      <c r="U19" s="12" t="n">
        <f aca="false">T19*VLOOKUP(D19,$W$8:$Y$14,3,0)</f>
        <v>99.6224006063661</v>
      </c>
      <c r="Z19" s="14"/>
    </row>
    <row r="20" s="12" customFormat="true" ht="12.8" hidden="false" customHeight="false" outlineLevel="0" collapsed="false">
      <c r="A20" s="7" t="s">
        <v>20</v>
      </c>
      <c r="B20" s="8" t="n">
        <v>40927</v>
      </c>
      <c r="C20" s="9" t="n">
        <v>19</v>
      </c>
      <c r="D20" s="8" t="s">
        <v>32</v>
      </c>
      <c r="E20" s="8" t="s">
        <v>25</v>
      </c>
      <c r="F20" s="10" t="n">
        <v>20</v>
      </c>
      <c r="G20" s="10" t="n">
        <v>64.5161290322581</v>
      </c>
      <c r="H20" s="10" t="n">
        <v>-44.5161290322581</v>
      </c>
      <c r="I20" s="11" t="s">
        <v>26</v>
      </c>
      <c r="J20" s="10" t="n">
        <v>1665.52</v>
      </c>
      <c r="K20" s="10" t="n">
        <v>1225.8064516129</v>
      </c>
      <c r="L20" s="12" t="n">
        <v>3</v>
      </c>
      <c r="M20" s="12" t="n">
        <v>2</v>
      </c>
      <c r="N20" s="12" t="n">
        <v>1</v>
      </c>
      <c r="O20" s="12" t="n">
        <v>1</v>
      </c>
      <c r="P20" s="13" t="n">
        <v>0.666666666666667</v>
      </c>
      <c r="Q20" s="12" t="n">
        <v>0.666666666666667</v>
      </c>
      <c r="R20" s="13" t="n">
        <f aca="false">SUM(P2:P20)/19</f>
        <v>1.27852965747703</v>
      </c>
      <c r="S20" s="12" t="n">
        <f aca="false">SUM(Q2:Q20)/19</f>
        <v>1.27852965747703</v>
      </c>
      <c r="T20" s="12" t="n">
        <f aca="false">$X$3+$X$4*C20</f>
        <v>129.670553359684</v>
      </c>
      <c r="U20" s="12" t="n">
        <f aca="false">T20*VLOOKUP(D20,$W$8:$Y$14,3,0)</f>
        <v>43.0614840599798</v>
      </c>
      <c r="Z20" s="14"/>
    </row>
    <row r="21" s="12" customFormat="true" ht="12.8" hidden="false" customHeight="false" outlineLevel="0" collapsed="false">
      <c r="A21" s="7" t="s">
        <v>20</v>
      </c>
      <c r="B21" s="8" t="n">
        <v>40928</v>
      </c>
      <c r="C21" s="9" t="n">
        <v>20</v>
      </c>
      <c r="D21" s="8" t="s">
        <v>33</v>
      </c>
      <c r="E21" s="8" t="s">
        <v>25</v>
      </c>
      <c r="F21" s="10" t="n">
        <v>312</v>
      </c>
      <c r="G21" s="10" t="n">
        <v>64.5161290322581</v>
      </c>
      <c r="H21" s="10" t="n">
        <v>247.483870967742</v>
      </c>
      <c r="I21" s="11" t="s">
        <v>23</v>
      </c>
      <c r="J21" s="10" t="n">
        <v>1977.52</v>
      </c>
      <c r="K21" s="10" t="n">
        <v>1290.32258064516</v>
      </c>
      <c r="L21" s="12" t="n">
        <v>10</v>
      </c>
      <c r="M21" s="12" t="n">
        <v>6</v>
      </c>
      <c r="N21" s="12" t="n">
        <v>4</v>
      </c>
      <c r="O21" s="12" t="n">
        <v>4</v>
      </c>
      <c r="P21" s="13" t="n">
        <v>0.6</v>
      </c>
      <c r="Q21" s="12" t="n">
        <v>0.6</v>
      </c>
      <c r="R21" s="13" t="n">
        <f aca="false">SUM(P2:P21)/20</f>
        <v>1.24460317460317</v>
      </c>
      <c r="S21" s="12" t="n">
        <f aca="false">SUM(Q2:Q21)/20</f>
        <v>1.24460317460317</v>
      </c>
      <c r="T21" s="12" t="n">
        <f aca="false">$X$3+$X$4*C21</f>
        <v>132.421501976285</v>
      </c>
      <c r="U21" s="12" t="n">
        <f aca="false">T21*VLOOKUP(D21,$W$8:$Y$14,3,0)</f>
        <v>224.672422944159</v>
      </c>
      <c r="Z21" s="14"/>
    </row>
    <row r="22" s="12" customFormat="true" ht="12.8" hidden="false" customHeight="false" outlineLevel="0" collapsed="false">
      <c r="A22" s="7" t="s">
        <v>20</v>
      </c>
      <c r="B22" s="8" t="n">
        <v>40929</v>
      </c>
      <c r="C22" s="9" t="n">
        <v>21</v>
      </c>
      <c r="D22" s="8" t="s">
        <v>36</v>
      </c>
      <c r="E22" s="8" t="s">
        <v>22</v>
      </c>
      <c r="F22" s="10" t="n">
        <v>208</v>
      </c>
      <c r="G22" s="10" t="n">
        <v>64.5161290322581</v>
      </c>
      <c r="H22" s="10" t="n">
        <v>143.483870967742</v>
      </c>
      <c r="I22" s="11" t="s">
        <v>23</v>
      </c>
      <c r="J22" s="10" t="n">
        <v>2185.52</v>
      </c>
      <c r="K22" s="10" t="n">
        <v>1354.83870967742</v>
      </c>
      <c r="L22" s="12" t="n">
        <v>7</v>
      </c>
      <c r="M22" s="12" t="n">
        <v>7</v>
      </c>
      <c r="N22" s="12" t="n">
        <v>0</v>
      </c>
      <c r="O22" s="12" t="n">
        <v>0</v>
      </c>
      <c r="P22" s="13" t="n">
        <v>1</v>
      </c>
      <c r="Q22" s="12" t="n">
        <v>1</v>
      </c>
      <c r="R22" s="13" t="n">
        <f aca="false">SUM(P2:P22)/21</f>
        <v>1.23295540438398</v>
      </c>
      <c r="S22" s="12" t="n">
        <f aca="false">SUM(Q2:Q22)/21</f>
        <v>1.23295540438398</v>
      </c>
      <c r="T22" s="12" t="n">
        <f aca="false">$X$3+$X$4*C22</f>
        <v>135.172450592885</v>
      </c>
      <c r="U22" s="12" t="n">
        <f aca="false">T22*VLOOKUP(D22,$W$8:$Y$14,3,0)</f>
        <v>287.694956312431</v>
      </c>
      <c r="Z22" s="14"/>
    </row>
    <row r="23" s="12" customFormat="true" ht="12.8" hidden="false" customHeight="false" outlineLevel="0" collapsed="false">
      <c r="A23" s="7" t="s">
        <v>20</v>
      </c>
      <c r="B23" s="8" t="n">
        <v>40930</v>
      </c>
      <c r="C23" s="9" t="n">
        <v>22</v>
      </c>
      <c r="D23" s="8" t="s">
        <v>21</v>
      </c>
      <c r="E23" s="8" t="s">
        <v>22</v>
      </c>
      <c r="F23" s="10" t="n">
        <v>249</v>
      </c>
      <c r="G23" s="10" t="n">
        <v>64.5161290322581</v>
      </c>
      <c r="H23" s="10" t="n">
        <v>184.483870967742</v>
      </c>
      <c r="I23" s="11" t="s">
        <v>23</v>
      </c>
      <c r="J23" s="10" t="n">
        <v>2434.52</v>
      </c>
      <c r="K23" s="10" t="n">
        <v>1419.35483870967</v>
      </c>
      <c r="L23" s="12" t="n">
        <v>8</v>
      </c>
      <c r="M23" s="12" t="n">
        <v>6</v>
      </c>
      <c r="N23" s="12" t="n">
        <v>2</v>
      </c>
      <c r="O23" s="12" t="n">
        <v>2</v>
      </c>
      <c r="P23" s="13" t="n">
        <v>0.75</v>
      </c>
      <c r="Q23" s="12" t="n">
        <v>0.75</v>
      </c>
      <c r="R23" s="13" t="n">
        <f aca="false">SUM(P2:P23)/22</f>
        <v>1.21100288600289</v>
      </c>
      <c r="S23" s="12" t="n">
        <f aca="false">SUM(Q2:Q23)/22</f>
        <v>1.21100288600289</v>
      </c>
      <c r="T23" s="12" t="n">
        <f aca="false">$X$3+$X$4*C23</f>
        <v>137.923399209486</v>
      </c>
      <c r="U23" s="12" t="n">
        <f aca="false">T23*VLOOKUP(D23,$W$8:$Y$14,3,0)</f>
        <v>145.213539817117</v>
      </c>
      <c r="Z23" s="14"/>
    </row>
    <row r="24" s="12" customFormat="true" ht="12.8" hidden="false" customHeight="false" outlineLevel="0" collapsed="false">
      <c r="A24" s="7" t="s">
        <v>20</v>
      </c>
      <c r="B24" s="8" t="n">
        <v>40931</v>
      </c>
      <c r="C24" s="9" t="n">
        <v>23</v>
      </c>
      <c r="D24" s="8" t="s">
        <v>24</v>
      </c>
      <c r="E24" s="8" t="s">
        <v>25</v>
      </c>
      <c r="F24" s="10" t="n">
        <v>105</v>
      </c>
      <c r="G24" s="10" t="n">
        <v>64.5161290322581</v>
      </c>
      <c r="H24" s="10" t="n">
        <v>40.4838709677419</v>
      </c>
      <c r="I24" s="11" t="s">
        <v>23</v>
      </c>
      <c r="J24" s="10" t="n">
        <v>2539.52</v>
      </c>
      <c r="K24" s="10" t="n">
        <v>1483.87096774193</v>
      </c>
      <c r="L24" s="12" t="n">
        <v>2</v>
      </c>
      <c r="M24" s="12" t="n">
        <v>2</v>
      </c>
      <c r="N24" s="12" t="n">
        <v>0</v>
      </c>
      <c r="O24" s="12" t="n">
        <v>0</v>
      </c>
      <c r="P24" s="13" t="n">
        <v>1</v>
      </c>
      <c r="Q24" s="12" t="n">
        <v>1</v>
      </c>
      <c r="R24" s="13" t="n">
        <f aca="false">SUM(P2:P24)/23</f>
        <v>1.20182884748102</v>
      </c>
      <c r="S24" s="12" t="n">
        <f aca="false">SUM(Q2:Q24)/23</f>
        <v>1.20182884748102</v>
      </c>
      <c r="T24" s="12" t="n">
        <f aca="false">$X$3+$X$4*C24</f>
        <v>140.674347826087</v>
      </c>
      <c r="U24" s="12" t="n">
        <f aca="false">T24*VLOOKUP(D24,$W$8:$Y$14,3,0)</f>
        <v>73.8956889490927</v>
      </c>
      <c r="Z24" s="14"/>
    </row>
    <row r="25" s="12" customFormat="true" ht="12.8" hidden="false" customHeight="false" outlineLevel="0" collapsed="false">
      <c r="A25" s="7" t="s">
        <v>20</v>
      </c>
      <c r="B25" s="8" t="n">
        <v>40932</v>
      </c>
      <c r="C25" s="9" t="n">
        <v>24</v>
      </c>
      <c r="D25" s="8" t="s">
        <v>28</v>
      </c>
      <c r="E25" s="8" t="s">
        <v>25</v>
      </c>
      <c r="F25" s="10"/>
      <c r="G25" s="10" t="n">
        <v>64.5161290322581</v>
      </c>
      <c r="H25" s="10"/>
      <c r="I25" s="11"/>
      <c r="J25" s="10"/>
      <c r="K25" s="10" t="n">
        <v>1548.38709677419</v>
      </c>
      <c r="P25" s="13"/>
      <c r="R25" s="13"/>
      <c r="T25" s="12" t="n">
        <f aca="false">$X$3+$X$4*C25</f>
        <v>143.425296442688</v>
      </c>
      <c r="U25" s="12" t="n">
        <f aca="false">T25*VLOOKUP(D25,$W$8:$Y$14,3,0)</f>
        <v>88.988685430413</v>
      </c>
      <c r="Z25" s="14"/>
    </row>
    <row r="26" s="12" customFormat="true" ht="12.8" hidden="false" customHeight="false" outlineLevel="0" collapsed="false">
      <c r="A26" s="7" t="s">
        <v>20</v>
      </c>
      <c r="B26" s="8" t="n">
        <v>40933</v>
      </c>
      <c r="C26" s="9" t="n">
        <v>25</v>
      </c>
      <c r="D26" s="8" t="s">
        <v>30</v>
      </c>
      <c r="E26" s="8" t="s">
        <v>25</v>
      </c>
      <c r="F26" s="10"/>
      <c r="G26" s="10" t="n">
        <v>64.5161290322581</v>
      </c>
      <c r="H26" s="10"/>
      <c r="I26" s="11"/>
      <c r="J26" s="10"/>
      <c r="K26" s="10" t="n">
        <v>1612.90322580645</v>
      </c>
      <c r="P26" s="13"/>
      <c r="R26" s="13"/>
      <c r="T26" s="12" t="n">
        <f aca="false">$X$3+$X$4*C26</f>
        <v>146.176245059289</v>
      </c>
      <c r="U26" s="12" t="n">
        <f aca="false">T26*VLOOKUP(D26,$W$8:$Y$14,3,0)</f>
        <v>114.737423536015</v>
      </c>
      <c r="Z26" s="14"/>
    </row>
    <row r="27" s="12" customFormat="true" ht="12.8" hidden="false" customHeight="false" outlineLevel="0" collapsed="false">
      <c r="A27" s="7" t="s">
        <v>20</v>
      </c>
      <c r="B27" s="8" t="n">
        <v>40934</v>
      </c>
      <c r="C27" s="9" t="n">
        <v>26</v>
      </c>
      <c r="D27" s="8" t="s">
        <v>32</v>
      </c>
      <c r="E27" s="8" t="s">
        <v>25</v>
      </c>
      <c r="F27" s="10"/>
      <c r="G27" s="10" t="n">
        <v>64.5161290322581</v>
      </c>
      <c r="H27" s="10"/>
      <c r="I27" s="11"/>
      <c r="J27" s="10"/>
      <c r="K27" s="10" t="n">
        <v>1677.41935483871</v>
      </c>
      <c r="P27" s="13"/>
      <c r="R27" s="13"/>
      <c r="T27" s="12" t="n">
        <f aca="false">$X$3+$X$4*C27</f>
        <v>148.927193675889</v>
      </c>
      <c r="U27" s="12" t="n">
        <f aca="false">T27*VLOOKUP(D27,$W$8:$Y$14,3,0)</f>
        <v>49.456301453293</v>
      </c>
      <c r="Z27" s="14"/>
    </row>
    <row r="28" s="12" customFormat="true" ht="12.8" hidden="false" customHeight="false" outlineLevel="0" collapsed="false">
      <c r="A28" s="7" t="s">
        <v>20</v>
      </c>
      <c r="B28" s="8" t="n">
        <v>40935</v>
      </c>
      <c r="C28" s="9" t="n">
        <v>27</v>
      </c>
      <c r="D28" s="8" t="s">
        <v>33</v>
      </c>
      <c r="E28" s="8" t="s">
        <v>25</v>
      </c>
      <c r="F28" s="10"/>
      <c r="G28" s="10" t="n">
        <v>64.5161290322581</v>
      </c>
      <c r="H28" s="10"/>
      <c r="I28" s="11"/>
      <c r="J28" s="10"/>
      <c r="K28" s="10" t="n">
        <v>1741.93548387096</v>
      </c>
      <c r="P28" s="13"/>
      <c r="R28" s="13"/>
      <c r="T28" s="12" t="n">
        <f aca="false">$X$3+$X$4*C28</f>
        <v>151.67814229249</v>
      </c>
      <c r="U28" s="12" t="n">
        <f aca="false">T28*VLOOKUP(D28,$W$8:$Y$14,3,0)</f>
        <v>257.344126353632</v>
      </c>
      <c r="Z28" s="14"/>
    </row>
    <row r="29" s="12" customFormat="true" ht="12.8" hidden="false" customHeight="false" outlineLevel="0" collapsed="false">
      <c r="A29" s="7" t="s">
        <v>20</v>
      </c>
      <c r="B29" s="8" t="n">
        <v>40936</v>
      </c>
      <c r="C29" s="9" t="n">
        <v>28</v>
      </c>
      <c r="D29" s="8" t="s">
        <v>36</v>
      </c>
      <c r="E29" s="8" t="s">
        <v>22</v>
      </c>
      <c r="F29" s="10"/>
      <c r="G29" s="10" t="n">
        <v>64.5161290322581</v>
      </c>
      <c r="H29" s="10"/>
      <c r="I29" s="11"/>
      <c r="J29" s="10"/>
      <c r="K29" s="10" t="n">
        <v>1806.45161290322</v>
      </c>
      <c r="P29" s="13"/>
      <c r="R29" s="13"/>
      <c r="T29" s="12" t="n">
        <f aca="false">$X$3+$X$4*C29</f>
        <v>154.429090909091</v>
      </c>
      <c r="U29" s="12" t="n">
        <f aca="false">T29*VLOOKUP(D29,$W$8:$Y$14,3,0)</f>
        <v>328.679922333211</v>
      </c>
      <c r="Z29" s="14"/>
    </row>
    <row r="30" s="12" customFormat="true" ht="12.8" hidden="false" customHeight="false" outlineLevel="0" collapsed="false">
      <c r="A30" s="7" t="s">
        <v>20</v>
      </c>
      <c r="B30" s="8" t="n">
        <v>40937</v>
      </c>
      <c r="C30" s="9" t="n">
        <v>29</v>
      </c>
      <c r="D30" s="8" t="s">
        <v>21</v>
      </c>
      <c r="E30" s="8" t="s">
        <v>22</v>
      </c>
      <c r="F30" s="10"/>
      <c r="G30" s="10" t="n">
        <v>64.5161290322581</v>
      </c>
      <c r="H30" s="10"/>
      <c r="I30" s="11"/>
      <c r="J30" s="10"/>
      <c r="K30" s="10" t="n">
        <v>1870.96774193548</v>
      </c>
      <c r="P30" s="13"/>
      <c r="R30" s="13"/>
      <c r="T30" s="12" t="n">
        <f aca="false">$X$3+$X$4*C30</f>
        <v>157.180039525692</v>
      </c>
      <c r="U30" s="12" t="n">
        <f aca="false">T30*VLOOKUP(D30,$W$8:$Y$14,3,0)</f>
        <v>165.488017689098</v>
      </c>
      <c r="Z30" s="14"/>
    </row>
    <row r="31" s="12" customFormat="true" ht="12.8" hidden="false" customHeight="false" outlineLevel="0" collapsed="false">
      <c r="A31" s="7" t="s">
        <v>20</v>
      </c>
      <c r="B31" s="8" t="n">
        <v>40938</v>
      </c>
      <c r="C31" s="9" t="n">
        <v>30</v>
      </c>
      <c r="D31" s="8" t="s">
        <v>24</v>
      </c>
      <c r="E31" s="8" t="s">
        <v>25</v>
      </c>
      <c r="F31" s="10"/>
      <c r="G31" s="10" t="n">
        <v>64.5161290322581</v>
      </c>
      <c r="H31" s="10"/>
      <c r="I31" s="11"/>
      <c r="J31" s="10"/>
      <c r="K31" s="10" t="n">
        <v>1935.48387096774</v>
      </c>
      <c r="P31" s="13"/>
      <c r="R31" s="13"/>
      <c r="T31" s="12" t="n">
        <f aca="false">$X$3+$X$4*C31</f>
        <v>159.930988142293</v>
      </c>
      <c r="U31" s="12" t="n">
        <f aca="false">T31*VLOOKUP(D31,$W$8:$Y$14,3,0)</f>
        <v>84.0111273712427</v>
      </c>
      <c r="Z31" s="14"/>
    </row>
    <row r="32" s="12" customFormat="true" ht="12.8" hidden="false" customHeight="false" outlineLevel="0" collapsed="false">
      <c r="A32" s="7" t="s">
        <v>20</v>
      </c>
      <c r="B32" s="8" t="n">
        <v>40939</v>
      </c>
      <c r="C32" s="9" t="n">
        <v>31</v>
      </c>
      <c r="D32" s="8" t="s">
        <v>28</v>
      </c>
      <c r="E32" s="8" t="s">
        <v>25</v>
      </c>
      <c r="F32" s="10"/>
      <c r="G32" s="10" t="n">
        <v>64.5161290322581</v>
      </c>
      <c r="H32" s="10"/>
      <c r="I32" s="11"/>
      <c r="J32" s="10"/>
      <c r="K32" s="10" t="n">
        <v>1999.99999999999</v>
      </c>
      <c r="P32" s="13"/>
      <c r="R32" s="13"/>
      <c r="T32" s="12" t="n">
        <f aca="false">$X$3+$X$4*C32</f>
        <v>162.681936758893</v>
      </c>
      <c r="U32" s="12" t="n">
        <f aca="false">T32*VLOOKUP(D32,$W$8:$Y$14,3,0)</f>
        <v>100.936529709265</v>
      </c>
      <c r="Z32" s="14"/>
    </row>
    <row r="33" s="21" customFormat="true" ht="12.8" hidden="false" customHeight="false" outlineLevel="0" collapsed="false">
      <c r="A33" s="16" t="s">
        <v>37</v>
      </c>
      <c r="B33" s="17" t="n">
        <v>40909</v>
      </c>
      <c r="C33" s="18" t="n">
        <v>1</v>
      </c>
      <c r="D33" s="17" t="s">
        <v>21</v>
      </c>
      <c r="E33" s="17" t="s">
        <v>22</v>
      </c>
      <c r="F33" s="19" t="n">
        <v>304</v>
      </c>
      <c r="G33" s="19" t="n">
        <v>64.5161290322581</v>
      </c>
      <c r="H33" s="19" t="n">
        <v>239.483870967742</v>
      </c>
      <c r="I33" s="20" t="s">
        <v>23</v>
      </c>
      <c r="J33" s="19" t="n">
        <v>304</v>
      </c>
      <c r="K33" s="19" t="n">
        <v>64.5161290322581</v>
      </c>
      <c r="L33" s="21" t="n">
        <v>10</v>
      </c>
      <c r="M33" s="21" t="n">
        <v>2</v>
      </c>
      <c r="N33" s="21" t="n">
        <v>8</v>
      </c>
      <c r="O33" s="21" t="n">
        <v>8</v>
      </c>
      <c r="P33" s="22" t="n">
        <v>0.2</v>
      </c>
      <c r="Q33" s="21" t="n">
        <v>0.2</v>
      </c>
      <c r="R33" s="22" t="n">
        <f aca="false">P33/1</f>
        <v>0.2</v>
      </c>
      <c r="S33" s="21" t="n">
        <f aca="false">Q33/1</f>
        <v>0.2</v>
      </c>
      <c r="T33" s="21" t="n">
        <f aca="false">$X$34+$X$35*C33</f>
        <v>118.432010273696</v>
      </c>
      <c r="U33" s="21" t="n">
        <f aca="false">T33*VLOOKUP(D33,$W$39:$Y$45,3,0)</f>
        <v>119.130343656146</v>
      </c>
      <c r="Z33" s="23"/>
    </row>
    <row r="34" s="21" customFormat="true" ht="12.8" hidden="false" customHeight="false" outlineLevel="0" collapsed="false">
      <c r="A34" s="16" t="s">
        <v>37</v>
      </c>
      <c r="B34" s="17" t="n">
        <v>40910</v>
      </c>
      <c r="C34" s="18" t="n">
        <v>2</v>
      </c>
      <c r="D34" s="17" t="s">
        <v>24</v>
      </c>
      <c r="E34" s="17" t="s">
        <v>25</v>
      </c>
      <c r="F34" s="19" t="n">
        <v>56.15</v>
      </c>
      <c r="G34" s="19" t="n">
        <v>64.5161290322581</v>
      </c>
      <c r="H34" s="19" t="n">
        <v>-8.36612903225807</v>
      </c>
      <c r="I34" s="20" t="s">
        <v>26</v>
      </c>
      <c r="J34" s="19" t="n">
        <v>360.15</v>
      </c>
      <c r="K34" s="19" t="n">
        <v>129.032258064516</v>
      </c>
      <c r="L34" s="21" t="n">
        <v>3</v>
      </c>
      <c r="M34" s="21" t="n">
        <v>2</v>
      </c>
      <c r="N34" s="21" t="n">
        <v>1</v>
      </c>
      <c r="O34" s="21" t="n">
        <v>1</v>
      </c>
      <c r="P34" s="22" t="n">
        <v>0.666666666666667</v>
      </c>
      <c r="Q34" s="21" t="n">
        <v>0.666666666666667</v>
      </c>
      <c r="R34" s="22" t="n">
        <f aca="false">SUM(P33:P34)/2</f>
        <v>0.433333333333333</v>
      </c>
      <c r="S34" s="21" t="n">
        <f aca="false">SUM(Q33:Q34)/2</f>
        <v>0.433333333333333</v>
      </c>
      <c r="T34" s="21" t="n">
        <f aca="false">$X$34+$X$35*C34</f>
        <v>116.179370050458</v>
      </c>
      <c r="U34" s="21" t="n">
        <f aca="false">T34*VLOOKUP(D34,$W$39:$Y$45,3,0)</f>
        <v>55.9602755754123</v>
      </c>
      <c r="W34" s="21" t="s">
        <v>38</v>
      </c>
      <c r="X34" s="21" t="n">
        <f aca="false">INTERCEPT(F$33:F$55,C$33:C$55)</f>
        <v>120.684650496933</v>
      </c>
      <c r="Z34" s="23"/>
    </row>
    <row r="35" s="21" customFormat="true" ht="12.8" hidden="false" customHeight="false" outlineLevel="0" collapsed="false">
      <c r="A35" s="16" t="s">
        <v>37</v>
      </c>
      <c r="B35" s="17" t="n">
        <v>40911</v>
      </c>
      <c r="C35" s="18" t="n">
        <v>3</v>
      </c>
      <c r="D35" s="17" t="s">
        <v>28</v>
      </c>
      <c r="E35" s="17" t="s">
        <v>25</v>
      </c>
      <c r="F35" s="19" t="n">
        <v>12</v>
      </c>
      <c r="G35" s="19" t="n">
        <v>64.5161290322581</v>
      </c>
      <c r="H35" s="19" t="n">
        <v>-52.5161290322581</v>
      </c>
      <c r="I35" s="20" t="s">
        <v>26</v>
      </c>
      <c r="J35" s="19" t="n">
        <v>372.15</v>
      </c>
      <c r="K35" s="19" t="n">
        <v>193.548387096774</v>
      </c>
      <c r="L35" s="21" t="n">
        <v>20</v>
      </c>
      <c r="M35" s="21" t="n">
        <v>20</v>
      </c>
      <c r="N35" s="21" t="n">
        <v>0</v>
      </c>
      <c r="O35" s="21" t="n">
        <v>0</v>
      </c>
      <c r="P35" s="22" t="n">
        <v>1</v>
      </c>
      <c r="Q35" s="21" t="n">
        <v>1</v>
      </c>
      <c r="R35" s="22" t="n">
        <f aca="false">SUM(P33:P35)/3</f>
        <v>0.622222222222222</v>
      </c>
      <c r="S35" s="21" t="n">
        <f aca="false">SUM(Q33:Q35)/3</f>
        <v>0.622222222222222</v>
      </c>
      <c r="T35" s="21" t="n">
        <f aca="false">$X$34+$X$35*C35</f>
        <v>113.926729827221</v>
      </c>
      <c r="U35" s="21" t="n">
        <f aca="false">T35*VLOOKUP(D35,$W$39:$Y$45,3,0)</f>
        <v>23.6506840675759</v>
      </c>
      <c r="W35" s="21" t="s">
        <v>39</v>
      </c>
      <c r="X35" s="21" t="n">
        <f aca="false">SLOPE(F$33:F$55,C$33:C$55)</f>
        <v>-2.25264022323715</v>
      </c>
      <c r="Z35" s="23"/>
    </row>
    <row r="36" s="21" customFormat="true" ht="12.8" hidden="false" customHeight="false" outlineLevel="0" collapsed="false">
      <c r="A36" s="16" t="s">
        <v>37</v>
      </c>
      <c r="B36" s="17" t="n">
        <v>40912</v>
      </c>
      <c r="C36" s="18" t="n">
        <v>4</v>
      </c>
      <c r="D36" s="17" t="s">
        <v>30</v>
      </c>
      <c r="E36" s="17" t="s">
        <v>25</v>
      </c>
      <c r="F36" s="19" t="n">
        <v>90.164547</v>
      </c>
      <c r="G36" s="19" t="n">
        <v>64.5161290322581</v>
      </c>
      <c r="H36" s="19" t="n">
        <v>25.6484179677419</v>
      </c>
      <c r="I36" s="20" t="s">
        <v>23</v>
      </c>
      <c r="J36" s="19" t="n">
        <v>462.314547</v>
      </c>
      <c r="K36" s="19" t="n">
        <v>258.064516129032</v>
      </c>
      <c r="L36" s="21" t="n">
        <v>5</v>
      </c>
      <c r="M36" s="21" t="n">
        <v>3</v>
      </c>
      <c r="N36" s="21" t="n">
        <v>2</v>
      </c>
      <c r="O36" s="21" t="n">
        <v>2</v>
      </c>
      <c r="P36" s="22" t="n">
        <v>0.6</v>
      </c>
      <c r="Q36" s="21" t="n">
        <v>0.6</v>
      </c>
      <c r="R36" s="22" t="n">
        <f aca="false">SUM(P33:P36)/4</f>
        <v>0.616666666666667</v>
      </c>
      <c r="S36" s="21" t="n">
        <f aca="false">SUM(Q33:Q36)/4</f>
        <v>0.616666666666667</v>
      </c>
      <c r="T36" s="21" t="n">
        <f aca="false">$X$34+$X$35*C36</f>
        <v>111.674089603984</v>
      </c>
      <c r="U36" s="21" t="n">
        <f aca="false">T36*VLOOKUP(D36,$W$39:$Y$45,3,0)</f>
        <v>53.5046052939341</v>
      </c>
      <c r="W36" s="21" t="s">
        <v>31</v>
      </c>
      <c r="X36" s="21" t="n">
        <f aca="false">SUM(F33:F271)/23</f>
        <v>163.060924339826</v>
      </c>
      <c r="Z36" s="23"/>
    </row>
    <row r="37" s="21" customFormat="true" ht="12.8" hidden="false" customHeight="false" outlineLevel="0" collapsed="false">
      <c r="A37" s="16" t="s">
        <v>37</v>
      </c>
      <c r="B37" s="17" t="n">
        <v>40913</v>
      </c>
      <c r="C37" s="18" t="n">
        <v>5</v>
      </c>
      <c r="D37" s="17" t="s">
        <v>32</v>
      </c>
      <c r="E37" s="17" t="s">
        <v>25</v>
      </c>
      <c r="F37" s="19" t="n">
        <v>50.091415</v>
      </c>
      <c r="G37" s="19" t="n">
        <v>64.5161290322581</v>
      </c>
      <c r="H37" s="19" t="n">
        <v>-14.4247140322581</v>
      </c>
      <c r="I37" s="20" t="s">
        <v>26</v>
      </c>
      <c r="J37" s="19" t="n">
        <v>512.405962</v>
      </c>
      <c r="K37" s="19" t="n">
        <v>322.58064516129</v>
      </c>
      <c r="L37" s="21" t="n">
        <v>6</v>
      </c>
      <c r="M37" s="21" t="n">
        <v>3</v>
      </c>
      <c r="N37" s="21" t="n">
        <v>3</v>
      </c>
      <c r="O37" s="21" t="n">
        <v>3</v>
      </c>
      <c r="P37" s="22" t="n">
        <v>0.5</v>
      </c>
      <c r="Q37" s="21" t="n">
        <v>0.5</v>
      </c>
      <c r="R37" s="22" t="n">
        <f aca="false">SUM(P33:P37)/5</f>
        <v>0.593333333333333</v>
      </c>
      <c r="S37" s="21" t="n">
        <f aca="false">SUM(Q33:Q37)/5</f>
        <v>0.593333333333333</v>
      </c>
      <c r="T37" s="21" t="n">
        <f aca="false">$X$34+$X$35*C37</f>
        <v>109.421449380747</v>
      </c>
      <c r="U37" s="21" t="n">
        <f aca="false">T37*VLOOKUP(D37,$W$39:$Y$45,3,0)</f>
        <v>37.7729521860048</v>
      </c>
      <c r="Z37" s="23"/>
    </row>
    <row r="38" s="21" customFormat="true" ht="12.8" hidden="false" customHeight="false" outlineLevel="0" collapsed="false">
      <c r="A38" s="16" t="s">
        <v>37</v>
      </c>
      <c r="B38" s="17" t="n">
        <v>40914</v>
      </c>
      <c r="C38" s="18" t="n">
        <v>6</v>
      </c>
      <c r="D38" s="17" t="s">
        <v>33</v>
      </c>
      <c r="E38" s="17" t="s">
        <v>25</v>
      </c>
      <c r="F38" s="19" t="n">
        <v>123.97</v>
      </c>
      <c r="G38" s="19" t="n">
        <v>64.5161290322581</v>
      </c>
      <c r="H38" s="19" t="n">
        <v>59.4538709677419</v>
      </c>
      <c r="I38" s="20" t="s">
        <v>23</v>
      </c>
      <c r="J38" s="19" t="n">
        <v>636.375962</v>
      </c>
      <c r="K38" s="19" t="n">
        <v>387.096774193548</v>
      </c>
      <c r="L38" s="21" t="n">
        <v>7</v>
      </c>
      <c r="M38" s="21" t="n">
        <v>4</v>
      </c>
      <c r="N38" s="21" t="n">
        <v>3</v>
      </c>
      <c r="O38" s="21" t="n">
        <v>3</v>
      </c>
      <c r="P38" s="22" t="n">
        <v>0.571428571428571</v>
      </c>
      <c r="Q38" s="21" t="n">
        <v>0.571428571428571</v>
      </c>
      <c r="R38" s="22" t="n">
        <f aca="false">SUM(P33:P38)/6</f>
        <v>0.58968253968254</v>
      </c>
      <c r="S38" s="21" t="n">
        <f aca="false">SUM(Q33:Q38)/6</f>
        <v>0.58968253968254</v>
      </c>
      <c r="T38" s="21" t="n">
        <f aca="false">$X$34+$X$35*C38</f>
        <v>107.16880915751</v>
      </c>
      <c r="U38" s="21" t="n">
        <f aca="false">T38*VLOOKUP(D38,$W$39:$Y$45,3,0)</f>
        <v>94.1145461854247</v>
      </c>
      <c r="W38" s="24" t="s">
        <v>34</v>
      </c>
      <c r="X38" s="24"/>
      <c r="Y38" s="18" t="s">
        <v>35</v>
      </c>
      <c r="Z38" s="23"/>
    </row>
    <row r="39" s="21" customFormat="true" ht="12.8" hidden="false" customHeight="false" outlineLevel="0" collapsed="false">
      <c r="A39" s="16" t="s">
        <v>37</v>
      </c>
      <c r="B39" s="17" t="n">
        <v>40915</v>
      </c>
      <c r="C39" s="18" t="n">
        <v>7</v>
      </c>
      <c r="D39" s="17" t="s">
        <v>36</v>
      </c>
      <c r="E39" s="17" t="s">
        <v>22</v>
      </c>
      <c r="F39" s="19" t="n">
        <v>184.21</v>
      </c>
      <c r="G39" s="19" t="n">
        <v>64.5161290322581</v>
      </c>
      <c r="H39" s="19" t="n">
        <v>119.693870967742</v>
      </c>
      <c r="I39" s="20" t="s">
        <v>23</v>
      </c>
      <c r="J39" s="19" t="n">
        <v>820.585962</v>
      </c>
      <c r="K39" s="19" t="n">
        <v>451.612903225805</v>
      </c>
      <c r="L39" s="21" t="n">
        <v>9</v>
      </c>
      <c r="M39" s="21" t="n">
        <v>7</v>
      </c>
      <c r="N39" s="21" t="n">
        <v>2</v>
      </c>
      <c r="O39" s="21" t="n">
        <v>2</v>
      </c>
      <c r="P39" s="22" t="n">
        <v>0.777777777777778</v>
      </c>
      <c r="Q39" s="21" t="n">
        <v>0.777777777777778</v>
      </c>
      <c r="R39" s="22" t="n">
        <f aca="false">SUM(P33:P39)/7</f>
        <v>0.616553287981859</v>
      </c>
      <c r="S39" s="21" t="n">
        <f aca="false">SUM(Q33:Q39)/7</f>
        <v>0.616553287981859</v>
      </c>
      <c r="T39" s="21" t="n">
        <f aca="false">$X$34+$X$35*C39</f>
        <v>104.916168934273</v>
      </c>
      <c r="U39" s="21" t="n">
        <f aca="false">T39*VLOOKUP(D39,$W$39:$Y$45,3,0)</f>
        <v>53.4831610768771</v>
      </c>
      <c r="W39" s="21" t="s">
        <v>21</v>
      </c>
      <c r="X39" s="21" t="n">
        <f aca="false">(F33+F40+F47+F54)/4</f>
        <v>164.02241175</v>
      </c>
      <c r="Y39" s="21" t="n">
        <f aca="false">X39/$X$36</f>
        <v>1.00589649184234</v>
      </c>
      <c r="Z39" s="23"/>
    </row>
    <row r="40" s="21" customFormat="true" ht="12.8" hidden="false" customHeight="false" outlineLevel="0" collapsed="false">
      <c r="A40" s="16" t="s">
        <v>37</v>
      </c>
      <c r="B40" s="17" t="n">
        <v>40916</v>
      </c>
      <c r="C40" s="18" t="n">
        <v>8</v>
      </c>
      <c r="D40" s="17" t="s">
        <v>21</v>
      </c>
      <c r="E40" s="17" t="s">
        <v>22</v>
      </c>
      <c r="F40" s="19" t="n">
        <v>190</v>
      </c>
      <c r="G40" s="19" t="n">
        <v>64.5161290322581</v>
      </c>
      <c r="H40" s="19" t="n">
        <v>125.483870967742</v>
      </c>
      <c r="I40" s="20" t="s">
        <v>23</v>
      </c>
      <c r="J40" s="19" t="n">
        <v>1010.585962</v>
      </c>
      <c r="K40" s="19" t="n">
        <v>516.129032258063</v>
      </c>
      <c r="L40" s="21" t="n">
        <v>7</v>
      </c>
      <c r="M40" s="21" t="n">
        <v>5</v>
      </c>
      <c r="N40" s="21" t="n">
        <v>2</v>
      </c>
      <c r="O40" s="21" t="n">
        <v>2</v>
      </c>
      <c r="P40" s="22" t="n">
        <v>0.714285714285714</v>
      </c>
      <c r="Q40" s="21" t="n">
        <v>0.714285714285714</v>
      </c>
      <c r="R40" s="22" t="n">
        <f aca="false">SUM(P33:P40)/8</f>
        <v>0.628769841269841</v>
      </c>
      <c r="S40" s="21" t="n">
        <f aca="false">SUM(Q33:Q40)/8</f>
        <v>0.628769841269841</v>
      </c>
      <c r="T40" s="21" t="n">
        <f aca="false">$X$34+$X$35*C40</f>
        <v>102.663528711036</v>
      </c>
      <c r="U40" s="21" t="n">
        <f aca="false">T40*VLOOKUP(D40,$W$39:$Y$45,3,0)</f>
        <v>103.268883370586</v>
      </c>
      <c r="W40" s="21" t="s">
        <v>24</v>
      </c>
      <c r="X40" s="21" t="n">
        <f aca="false">(F34+F41+F48+F55)/4</f>
        <v>78.54177775</v>
      </c>
      <c r="Y40" s="21" t="n">
        <f aca="false">X40/$X$36</f>
        <v>0.481671363436623</v>
      </c>
      <c r="Z40" s="23"/>
    </row>
    <row r="41" s="21" customFormat="true" ht="12.8" hidden="false" customHeight="false" outlineLevel="0" collapsed="false">
      <c r="A41" s="16" t="s">
        <v>37</v>
      </c>
      <c r="B41" s="17" t="n">
        <v>40917</v>
      </c>
      <c r="C41" s="18" t="n">
        <v>9</v>
      </c>
      <c r="D41" s="17" t="s">
        <v>24</v>
      </c>
      <c r="E41" s="17" t="s">
        <v>25</v>
      </c>
      <c r="F41" s="19" t="n">
        <v>83.089647</v>
      </c>
      <c r="G41" s="19" t="n">
        <v>64.5161290322581</v>
      </c>
      <c r="H41" s="19" t="n">
        <v>18.5735179677419</v>
      </c>
      <c r="I41" s="20" t="s">
        <v>23</v>
      </c>
      <c r="J41" s="19" t="n">
        <v>1093.675609</v>
      </c>
      <c r="K41" s="19" t="n">
        <v>580.645161290321</v>
      </c>
      <c r="L41" s="21" t="n">
        <v>5</v>
      </c>
      <c r="M41" s="21" t="n">
        <v>2</v>
      </c>
      <c r="N41" s="21" t="n">
        <v>3</v>
      </c>
      <c r="O41" s="21" t="n">
        <v>3</v>
      </c>
      <c r="P41" s="22" t="n">
        <v>0.4</v>
      </c>
      <c r="Q41" s="21" t="n">
        <v>0.4</v>
      </c>
      <c r="R41" s="22" t="n">
        <f aca="false">SUM(P33:P41)/9</f>
        <v>0.603350970017637</v>
      </c>
      <c r="S41" s="21" t="n">
        <f aca="false">SUM(Q33:Q41)/9</f>
        <v>0.603350970017637</v>
      </c>
      <c r="T41" s="21" t="n">
        <f aca="false">$X$34+$X$35*C41</f>
        <v>100.410888487798</v>
      </c>
      <c r="U41" s="21" t="n">
        <f aca="false">T41*VLOOKUP(D41,$W$39:$Y$45,3,0)</f>
        <v>48.3650495618005</v>
      </c>
      <c r="W41" s="21" t="s">
        <v>28</v>
      </c>
      <c r="X41" s="21" t="n">
        <f aca="false">(F35+F42+F49)/3</f>
        <v>33.8507250333333</v>
      </c>
      <c r="Y41" s="21" t="n">
        <f aca="false">X41/$X$36</f>
        <v>0.20759556693538</v>
      </c>
      <c r="Z41" s="23"/>
    </row>
    <row r="42" s="21" customFormat="true" ht="12.8" hidden="false" customHeight="false" outlineLevel="0" collapsed="false">
      <c r="A42" s="16" t="s">
        <v>37</v>
      </c>
      <c r="B42" s="17" t="n">
        <v>40918</v>
      </c>
      <c r="C42" s="18" t="n">
        <v>10</v>
      </c>
      <c r="D42" s="17" t="s">
        <v>28</v>
      </c>
      <c r="E42" s="17" t="s">
        <v>25</v>
      </c>
      <c r="F42" s="19" t="n">
        <v>61.8556261</v>
      </c>
      <c r="G42" s="19" t="n">
        <v>64.5161290322581</v>
      </c>
      <c r="H42" s="19" t="n">
        <v>-2.66050293225806</v>
      </c>
      <c r="I42" s="20" t="s">
        <v>26</v>
      </c>
      <c r="J42" s="19" t="n">
        <v>1155.5312351</v>
      </c>
      <c r="K42" s="19" t="n">
        <v>645.161290322579</v>
      </c>
      <c r="L42" s="21" t="n">
        <v>3</v>
      </c>
      <c r="M42" s="21" t="n">
        <v>1</v>
      </c>
      <c r="N42" s="21" t="n">
        <v>2</v>
      </c>
      <c r="O42" s="21" t="n">
        <v>2</v>
      </c>
      <c r="P42" s="22" t="n">
        <v>0.333333333333333</v>
      </c>
      <c r="Q42" s="21" t="n">
        <v>0.333333333333333</v>
      </c>
      <c r="R42" s="22" t="n">
        <f aca="false">SUM(P33:P42)/10</f>
        <v>0.576349206349206</v>
      </c>
      <c r="S42" s="21" t="n">
        <f aca="false">SUM(Q33:Q42)/10</f>
        <v>0.576349206349206</v>
      </c>
      <c r="T42" s="21" t="n">
        <f aca="false">$X$34+$X$35*C42</f>
        <v>98.1582482645613</v>
      </c>
      <c r="U42" s="21" t="n">
        <f aca="false">T42*VLOOKUP(D42,$W$39:$Y$45,3,0)</f>
        <v>20.3772171978654</v>
      </c>
      <c r="W42" s="21" t="s">
        <v>30</v>
      </c>
      <c r="X42" s="21" t="n">
        <f aca="false">(F36+F43+F50)/3</f>
        <v>78.124750572</v>
      </c>
      <c r="Y42" s="21" t="n">
        <f aca="false">X42/$X$36</f>
        <v>0.479113870403338</v>
      </c>
      <c r="Z42" s="23"/>
    </row>
    <row r="43" s="21" customFormat="true" ht="12.8" hidden="false" customHeight="false" outlineLevel="0" collapsed="false">
      <c r="A43" s="16" t="s">
        <v>37</v>
      </c>
      <c r="B43" s="17" t="n">
        <v>40919</v>
      </c>
      <c r="C43" s="18" t="n">
        <v>11</v>
      </c>
      <c r="D43" s="17" t="s">
        <v>30</v>
      </c>
      <c r="E43" s="17" t="s">
        <v>25</v>
      </c>
      <c r="F43" s="19" t="n">
        <v>59.566044716</v>
      </c>
      <c r="G43" s="19" t="n">
        <v>64.5161290322581</v>
      </c>
      <c r="H43" s="19" t="n">
        <v>-4.95008431625807</v>
      </c>
      <c r="I43" s="20" t="s">
        <v>26</v>
      </c>
      <c r="J43" s="19" t="n">
        <v>1215.097279816</v>
      </c>
      <c r="K43" s="19" t="n">
        <v>709.677419354837</v>
      </c>
      <c r="L43" s="21" t="n">
        <v>13</v>
      </c>
      <c r="M43" s="21" t="n">
        <v>2</v>
      </c>
      <c r="N43" s="21" t="n">
        <v>11</v>
      </c>
      <c r="O43" s="21" t="n">
        <v>11</v>
      </c>
      <c r="P43" s="22" t="n">
        <v>0.153846153846154</v>
      </c>
      <c r="Q43" s="21" t="n">
        <v>0.153846153846154</v>
      </c>
      <c r="R43" s="22" t="n">
        <f aca="false">SUM(P33:P43)/11</f>
        <v>0.537939837939838</v>
      </c>
      <c r="S43" s="21" t="n">
        <f aca="false">SUM(Q33:Q43)/11</f>
        <v>0.537939837939838</v>
      </c>
      <c r="T43" s="21" t="n">
        <f aca="false">$X$34+$X$35*C43</f>
        <v>95.9056080413241</v>
      </c>
      <c r="U43" s="21" t="n">
        <f aca="false">T43*VLOOKUP(D43,$W$39:$Y$45,3,0)</f>
        <v>45.9497070620643</v>
      </c>
      <c r="W43" s="21" t="s">
        <v>32</v>
      </c>
      <c r="X43" s="21" t="n">
        <f aca="false">(F37+F44+F51)/3</f>
        <v>56.2896263333333</v>
      </c>
      <c r="Y43" s="21" t="n">
        <f aca="false">X43/$X$36</f>
        <v>0.345206103554419</v>
      </c>
      <c r="Z43" s="23"/>
    </row>
    <row r="44" s="21" customFormat="true" ht="12.8" hidden="false" customHeight="false" outlineLevel="0" collapsed="false">
      <c r="A44" s="16" t="s">
        <v>37</v>
      </c>
      <c r="B44" s="17" t="n">
        <v>40920</v>
      </c>
      <c r="C44" s="18" t="n">
        <v>12</v>
      </c>
      <c r="D44" s="17" t="s">
        <v>32</v>
      </c>
      <c r="E44" s="17" t="s">
        <v>25</v>
      </c>
      <c r="F44" s="19" t="n">
        <v>73.857464</v>
      </c>
      <c r="G44" s="19" t="n">
        <v>64.5161290322581</v>
      </c>
      <c r="H44" s="19" t="n">
        <v>9.34133496774194</v>
      </c>
      <c r="I44" s="20" t="s">
        <v>23</v>
      </c>
      <c r="J44" s="19" t="n">
        <v>1288.954743816</v>
      </c>
      <c r="K44" s="19" t="n">
        <v>774.193548387095</v>
      </c>
      <c r="L44" s="21" t="n">
        <v>25</v>
      </c>
      <c r="M44" s="21" t="n">
        <v>14</v>
      </c>
      <c r="N44" s="21" t="n">
        <v>11</v>
      </c>
      <c r="O44" s="21" t="n">
        <v>11</v>
      </c>
      <c r="P44" s="22" t="n">
        <v>0.56</v>
      </c>
      <c r="Q44" s="21" t="n">
        <v>0.56</v>
      </c>
      <c r="R44" s="22" t="n">
        <f aca="false">SUM(P33:P44)/12</f>
        <v>0.539778184778185</v>
      </c>
      <c r="S44" s="21" t="n">
        <f aca="false">SUM(Q33:Q44)/12</f>
        <v>0.539778184778185</v>
      </c>
      <c r="T44" s="21" t="n">
        <f aca="false">$X$34+$X$35*C44</f>
        <v>93.652967818087</v>
      </c>
      <c r="U44" s="21" t="n">
        <f aca="false">T44*VLOOKUP(D44,$W$39:$Y$45,3,0)</f>
        <v>32.3295761067892</v>
      </c>
      <c r="W44" s="21" t="s">
        <v>33</v>
      </c>
      <c r="X44" s="21" t="n">
        <f aca="false">(F38+F45+F52)/3</f>
        <v>143.198427</v>
      </c>
      <c r="Y44" s="21" t="n">
        <f aca="false">X44/$X$36</f>
        <v>0.878189717001532</v>
      </c>
      <c r="Z44" s="23"/>
    </row>
    <row r="45" s="21" customFormat="true" ht="12.8" hidden="false" customHeight="false" outlineLevel="0" collapsed="false">
      <c r="A45" s="16" t="s">
        <v>37</v>
      </c>
      <c r="B45" s="17" t="n">
        <v>40921</v>
      </c>
      <c r="C45" s="18" t="n">
        <v>13</v>
      </c>
      <c r="D45" s="17" t="s">
        <v>33</v>
      </c>
      <c r="E45" s="17" t="s">
        <v>25</v>
      </c>
      <c r="F45" s="19" t="n">
        <v>64.625281</v>
      </c>
      <c r="G45" s="19" t="n">
        <v>64.5161290322581</v>
      </c>
      <c r="H45" s="19" t="n">
        <v>0.109151967741937</v>
      </c>
      <c r="I45" s="20" t="s">
        <v>23</v>
      </c>
      <c r="J45" s="19" t="n">
        <v>1353.580024816</v>
      </c>
      <c r="K45" s="19" t="n">
        <v>838.709677419353</v>
      </c>
      <c r="L45" s="21" t="n">
        <v>8</v>
      </c>
      <c r="M45" s="21" t="n">
        <v>5</v>
      </c>
      <c r="N45" s="21" t="n">
        <v>3</v>
      </c>
      <c r="O45" s="21" t="n">
        <v>3</v>
      </c>
      <c r="P45" s="22" t="n">
        <v>0.625</v>
      </c>
      <c r="Q45" s="21" t="n">
        <v>0.625</v>
      </c>
      <c r="R45" s="22" t="n">
        <f aca="false">SUM(P33:P45)/13</f>
        <v>0.546333709026017</v>
      </c>
      <c r="S45" s="21" t="n">
        <f aca="false">SUM(Q33:Q45)/13</f>
        <v>0.546333709026017</v>
      </c>
      <c r="T45" s="21" t="n">
        <f aca="false">$X$34+$X$35*C45</f>
        <v>91.4003275948498</v>
      </c>
      <c r="U45" s="21" t="n">
        <f aca="false">T45*VLOOKUP(D45,$W$39:$Y$45,3,0)</f>
        <v>80.2668278243684</v>
      </c>
      <c r="W45" s="21" t="s">
        <v>36</v>
      </c>
      <c r="X45" s="21" t="n">
        <f aca="false">(F39+F46+F53)/3</f>
        <v>83.1236383333334</v>
      </c>
      <c r="Y45" s="21" t="n">
        <f aca="false">X45/$X$36</f>
        <v>0.509770435006857</v>
      </c>
      <c r="Z45" s="23"/>
    </row>
    <row r="46" s="21" customFormat="true" ht="12.8" hidden="false" customHeight="false" outlineLevel="0" collapsed="false">
      <c r="A46" s="16" t="s">
        <v>37</v>
      </c>
      <c r="B46" s="17" t="n">
        <v>40922</v>
      </c>
      <c r="C46" s="18" t="n">
        <v>14</v>
      </c>
      <c r="D46" s="17" t="s">
        <v>36</v>
      </c>
      <c r="E46" s="17" t="s">
        <v>22</v>
      </c>
      <c r="F46" s="19" t="n">
        <v>46.160915</v>
      </c>
      <c r="G46" s="19" t="n">
        <v>64.5161290322581</v>
      </c>
      <c r="H46" s="19" t="n">
        <v>-18.3552140322581</v>
      </c>
      <c r="I46" s="20" t="s">
        <v>26</v>
      </c>
      <c r="J46" s="19" t="n">
        <v>1399.740939816</v>
      </c>
      <c r="K46" s="19" t="n">
        <v>903.22580645161</v>
      </c>
      <c r="L46" s="21" t="n">
        <v>6</v>
      </c>
      <c r="M46" s="21" t="n">
        <v>3</v>
      </c>
      <c r="N46" s="21" t="n">
        <v>3</v>
      </c>
      <c r="O46" s="21" t="n">
        <v>3</v>
      </c>
      <c r="P46" s="22" t="n">
        <v>0.5</v>
      </c>
      <c r="Q46" s="21" t="n">
        <v>0.5</v>
      </c>
      <c r="R46" s="22" t="n">
        <f aca="false">SUM(P33:P46)/14</f>
        <v>0.543024158381301</v>
      </c>
      <c r="S46" s="21" t="n">
        <f aca="false">SUM(Q33:Q46)/14</f>
        <v>0.543024158381301</v>
      </c>
      <c r="T46" s="21" t="n">
        <f aca="false">$X$34+$X$35*C46</f>
        <v>89.1476873716126</v>
      </c>
      <c r="U46" s="21" t="n">
        <f aca="false">T46*VLOOKUP(D46,$W$39:$Y$45,3,0)</f>
        <v>45.4448553712823</v>
      </c>
      <c r="Z46" s="23"/>
    </row>
    <row r="47" s="21" customFormat="true" ht="12.8" hidden="false" customHeight="false" outlineLevel="0" collapsed="false">
      <c r="A47" s="16" t="s">
        <v>37</v>
      </c>
      <c r="B47" s="17" t="n">
        <v>40923</v>
      </c>
      <c r="C47" s="18" t="n">
        <v>15</v>
      </c>
      <c r="D47" s="17" t="s">
        <v>21</v>
      </c>
      <c r="E47" s="17" t="s">
        <v>22</v>
      </c>
      <c r="F47" s="19" t="n">
        <v>83.089647</v>
      </c>
      <c r="G47" s="19" t="n">
        <v>64.5161290322581</v>
      </c>
      <c r="H47" s="19" t="n">
        <v>18.5735179677419</v>
      </c>
      <c r="I47" s="20" t="s">
        <v>23</v>
      </c>
      <c r="J47" s="19" t="n">
        <v>1482.830586816</v>
      </c>
      <c r="K47" s="19" t="n">
        <v>967.741935483869</v>
      </c>
      <c r="L47" s="21" t="n">
        <v>4</v>
      </c>
      <c r="M47" s="21" t="n">
        <v>3</v>
      </c>
      <c r="N47" s="21" t="n">
        <v>1</v>
      </c>
      <c r="O47" s="21" t="n">
        <v>1</v>
      </c>
      <c r="P47" s="22" t="n">
        <v>0.75</v>
      </c>
      <c r="Q47" s="21" t="n">
        <v>0.75</v>
      </c>
      <c r="R47" s="22" t="n">
        <f aca="false">SUM(P33:P47)/15</f>
        <v>0.556822547822548</v>
      </c>
      <c r="S47" s="21" t="n">
        <f aca="false">SUM(Q33:Q47)/15</f>
        <v>0.556822547822548</v>
      </c>
      <c r="T47" s="21" t="n">
        <f aca="false">$X$34+$X$35*C47</f>
        <v>86.8950471483755</v>
      </c>
      <c r="U47" s="21" t="n">
        <f aca="false">T47*VLOOKUP(D47,$W$39:$Y$45,3,0)</f>
        <v>87.4074230850255</v>
      </c>
      <c r="W47" s="21" t="s">
        <v>22</v>
      </c>
      <c r="X47" s="21" t="n">
        <f aca="false">(X45+X39)/2</f>
        <v>123.573025041667</v>
      </c>
      <c r="Z47" s="23"/>
    </row>
    <row r="48" s="21" customFormat="true" ht="12.8" hidden="false" customHeight="false" outlineLevel="0" collapsed="false">
      <c r="A48" s="16" t="s">
        <v>37</v>
      </c>
      <c r="B48" s="17" t="n">
        <v>40924</v>
      </c>
      <c r="C48" s="18" t="n">
        <v>16</v>
      </c>
      <c r="D48" s="17" t="s">
        <v>24</v>
      </c>
      <c r="E48" s="17" t="s">
        <v>25</v>
      </c>
      <c r="F48" s="19" t="n">
        <v>73.857464</v>
      </c>
      <c r="G48" s="19" t="n">
        <v>64.5161290322581</v>
      </c>
      <c r="H48" s="19" t="n">
        <v>9.34133496774194</v>
      </c>
      <c r="I48" s="20" t="s">
        <v>23</v>
      </c>
      <c r="J48" s="19" t="n">
        <v>1556.688050816</v>
      </c>
      <c r="K48" s="19" t="n">
        <v>1032.25806451613</v>
      </c>
      <c r="L48" s="21" t="n">
        <v>3</v>
      </c>
      <c r="M48" s="21" t="n">
        <v>2</v>
      </c>
      <c r="N48" s="21" t="n">
        <v>1</v>
      </c>
      <c r="O48" s="21" t="n">
        <v>1</v>
      </c>
      <c r="P48" s="22" t="n">
        <v>0.666666666666667</v>
      </c>
      <c r="Q48" s="21" t="n">
        <v>0.666666666666667</v>
      </c>
      <c r="R48" s="22" t="n">
        <f aca="false">SUM(P33:P48)/16</f>
        <v>0.563687805250305</v>
      </c>
      <c r="S48" s="21" t="n">
        <f aca="false">SUM(Q33:Q48)/16</f>
        <v>0.563687805250305</v>
      </c>
      <c r="T48" s="21" t="n">
        <f aca="false">$X$34+$X$35*C48</f>
        <v>84.6424069251383</v>
      </c>
      <c r="U48" s="21" t="n">
        <f aca="false">T48*VLOOKUP(D48,$W$39:$Y$45,3,0)</f>
        <v>40.7698235481888</v>
      </c>
      <c r="W48" s="21" t="s">
        <v>25</v>
      </c>
      <c r="X48" s="21" t="n">
        <f aca="false">(X40+X41+X42+X43+X44)/5</f>
        <v>78.0010613377333</v>
      </c>
      <c r="Z48" s="23"/>
    </row>
    <row r="49" s="21" customFormat="true" ht="12.8" hidden="false" customHeight="false" outlineLevel="0" collapsed="false">
      <c r="A49" s="16" t="s">
        <v>37</v>
      </c>
      <c r="B49" s="17" t="n">
        <v>40925</v>
      </c>
      <c r="C49" s="18" t="n">
        <v>17</v>
      </c>
      <c r="D49" s="17" t="s">
        <v>28</v>
      </c>
      <c r="E49" s="17" t="s">
        <v>25</v>
      </c>
      <c r="F49" s="19" t="n">
        <v>27.696549</v>
      </c>
      <c r="G49" s="19" t="n">
        <v>64.5161290322581</v>
      </c>
      <c r="H49" s="19" t="n">
        <v>-36.8195800322581</v>
      </c>
      <c r="I49" s="20" t="s">
        <v>26</v>
      </c>
      <c r="J49" s="19" t="n">
        <v>1584.384599816</v>
      </c>
      <c r="K49" s="19" t="n">
        <v>1096.77419354838</v>
      </c>
      <c r="L49" s="21" t="n">
        <v>7</v>
      </c>
      <c r="M49" s="21" t="n">
        <v>3</v>
      </c>
      <c r="N49" s="21" t="n">
        <v>4</v>
      </c>
      <c r="O49" s="21" t="n">
        <v>4</v>
      </c>
      <c r="P49" s="22" t="n">
        <v>0.428571428571429</v>
      </c>
      <c r="Q49" s="21" t="n">
        <v>0.428571428571429</v>
      </c>
      <c r="R49" s="22" t="n">
        <f aca="false">SUM(P33:P49)/17</f>
        <v>0.555739783092724</v>
      </c>
      <c r="S49" s="21" t="n">
        <f aca="false">SUM(Q33:Q49)/17</f>
        <v>0.555739783092724</v>
      </c>
      <c r="T49" s="21" t="n">
        <f aca="false">$X$34+$X$35*C49</f>
        <v>82.3897667019012</v>
      </c>
      <c r="U49" s="21" t="n">
        <f aca="false">T49*VLOOKUP(D49,$W$39:$Y$45,3,0)</f>
        <v>17.1037503281549</v>
      </c>
      <c r="Z49" s="23"/>
    </row>
    <row r="50" s="21" customFormat="true" ht="12.8" hidden="false" customHeight="false" outlineLevel="0" collapsed="false">
      <c r="A50" s="16" t="s">
        <v>37</v>
      </c>
      <c r="B50" s="17" t="n">
        <v>40926</v>
      </c>
      <c r="C50" s="18" t="n">
        <v>18</v>
      </c>
      <c r="D50" s="17" t="s">
        <v>30</v>
      </c>
      <c r="E50" s="17" t="s">
        <v>25</v>
      </c>
      <c r="F50" s="19" t="n">
        <v>84.64366</v>
      </c>
      <c r="G50" s="19" t="n">
        <v>64.5161290322581</v>
      </c>
      <c r="H50" s="19" t="n">
        <v>20.1275309677419</v>
      </c>
      <c r="I50" s="20" t="s">
        <v>23</v>
      </c>
      <c r="J50" s="19" t="n">
        <v>1669.028259816</v>
      </c>
      <c r="K50" s="19" t="n">
        <v>1161.29032258064</v>
      </c>
      <c r="L50" s="21" t="n">
        <v>8</v>
      </c>
      <c r="M50" s="21" t="n">
        <v>5</v>
      </c>
      <c r="N50" s="21" t="n">
        <v>3</v>
      </c>
      <c r="O50" s="21" t="n">
        <v>3</v>
      </c>
      <c r="P50" s="22" t="n">
        <v>0.625</v>
      </c>
      <c r="Q50" s="21" t="n">
        <v>0.625</v>
      </c>
      <c r="R50" s="22" t="n">
        <f aca="false">SUM(P33:P50)/18</f>
        <v>0.559587572920906</v>
      </c>
      <c r="S50" s="21" t="n">
        <f aca="false">SUM(Q33:Q50)/18</f>
        <v>0.559587572920906</v>
      </c>
      <c r="T50" s="21" t="n">
        <f aca="false">$X$34+$X$35*C50</f>
        <v>80.137126478664</v>
      </c>
      <c r="U50" s="21" t="n">
        <f aca="false">T50*VLOOKUP(D50,$W$39:$Y$45,3,0)</f>
        <v>38.3948088301946</v>
      </c>
      <c r="Z50" s="23"/>
    </row>
    <row r="51" s="21" customFormat="true" ht="12.8" hidden="false" customHeight="false" outlineLevel="0" collapsed="false">
      <c r="A51" s="16" t="s">
        <v>37</v>
      </c>
      <c r="B51" s="17" t="n">
        <v>40927</v>
      </c>
      <c r="C51" s="18" t="n">
        <v>19</v>
      </c>
      <c r="D51" s="17" t="s">
        <v>32</v>
      </c>
      <c r="E51" s="17" t="s">
        <v>25</v>
      </c>
      <c r="F51" s="19" t="n">
        <v>44.92</v>
      </c>
      <c r="G51" s="19" t="n">
        <v>64.5161290322581</v>
      </c>
      <c r="H51" s="19" t="n">
        <v>-19.5961290322581</v>
      </c>
      <c r="I51" s="20" t="s">
        <v>26</v>
      </c>
      <c r="J51" s="19" t="n">
        <v>1713.948259816</v>
      </c>
      <c r="K51" s="19" t="n">
        <v>1225.8064516129</v>
      </c>
      <c r="L51" s="21" t="n">
        <v>9</v>
      </c>
      <c r="M51" s="21" t="n">
        <v>6</v>
      </c>
      <c r="N51" s="21" t="n">
        <v>3</v>
      </c>
      <c r="O51" s="21" t="n">
        <v>3</v>
      </c>
      <c r="P51" s="22" t="n">
        <v>0.666666666666667</v>
      </c>
      <c r="Q51" s="21" t="n">
        <v>0.666666666666667</v>
      </c>
      <c r="R51" s="22" t="n">
        <f aca="false">SUM(P33:P51)/19</f>
        <v>0.565223314696999</v>
      </c>
      <c r="S51" s="21" t="n">
        <f aca="false">SUM(Q33:Q51)/19</f>
        <v>0.565223314696999</v>
      </c>
      <c r="T51" s="21" t="n">
        <f aca="false">$X$34+$X$35*C51</f>
        <v>77.8844862554269</v>
      </c>
      <c r="U51" s="21" t="n">
        <f aca="false">T51*VLOOKUP(D51,$W$39:$Y$45,3,0)</f>
        <v>26.8862000275736</v>
      </c>
      <c r="Z51" s="23"/>
    </row>
    <row r="52" s="21" customFormat="true" ht="12.8" hidden="false" customHeight="false" outlineLevel="0" collapsed="false">
      <c r="A52" s="16" t="s">
        <v>37</v>
      </c>
      <c r="B52" s="17" t="n">
        <v>40928</v>
      </c>
      <c r="C52" s="18" t="n">
        <v>20</v>
      </c>
      <c r="D52" s="17" t="s">
        <v>33</v>
      </c>
      <c r="E52" s="17" t="s">
        <v>25</v>
      </c>
      <c r="F52" s="19" t="n">
        <v>241</v>
      </c>
      <c r="G52" s="19" t="n">
        <v>64.5161290322581</v>
      </c>
      <c r="H52" s="19" t="n">
        <v>176.483870967742</v>
      </c>
      <c r="I52" s="20" t="s">
        <v>23</v>
      </c>
      <c r="J52" s="19" t="n">
        <v>1954.948259816</v>
      </c>
      <c r="K52" s="19" t="n">
        <v>1290.32258064516</v>
      </c>
      <c r="L52" s="21" t="n">
        <v>7</v>
      </c>
      <c r="M52" s="21" t="n">
        <v>4</v>
      </c>
      <c r="N52" s="21" t="n">
        <v>3</v>
      </c>
      <c r="O52" s="21" t="n">
        <v>3</v>
      </c>
      <c r="P52" s="22" t="n">
        <v>0.571428571428571</v>
      </c>
      <c r="Q52" s="21" t="n">
        <v>0.571428571428571</v>
      </c>
      <c r="R52" s="22" t="n">
        <f aca="false">SUM(P33:P52)/20</f>
        <v>0.565533577533578</v>
      </c>
      <c r="S52" s="21" t="n">
        <f aca="false">SUM(Q33:Q52)/20</f>
        <v>0.565533577533578</v>
      </c>
      <c r="T52" s="21" t="n">
        <f aca="false">$X$34+$X$35*C52</f>
        <v>75.6318460321897</v>
      </c>
      <c r="U52" s="21" t="n">
        <f aca="false">T52*VLOOKUP(D52,$W$39:$Y$45,3,0)</f>
        <v>66.4191094633121</v>
      </c>
      <c r="Z52" s="23"/>
    </row>
    <row r="53" s="21" customFormat="true" ht="12.8" hidden="false" customHeight="false" outlineLevel="0" collapsed="false">
      <c r="A53" s="16" t="s">
        <v>37</v>
      </c>
      <c r="B53" s="17" t="n">
        <v>40929</v>
      </c>
      <c r="C53" s="18" t="n">
        <v>21</v>
      </c>
      <c r="D53" s="17" t="s">
        <v>36</v>
      </c>
      <c r="E53" s="17" t="s">
        <v>22</v>
      </c>
      <c r="F53" s="19" t="n">
        <v>19</v>
      </c>
      <c r="G53" s="19" t="n">
        <v>64.5161290322581</v>
      </c>
      <c r="H53" s="19" t="n">
        <v>-45.5161290322581</v>
      </c>
      <c r="I53" s="20" t="s">
        <v>26</v>
      </c>
      <c r="J53" s="19" t="n">
        <v>1973.948259816</v>
      </c>
      <c r="K53" s="19" t="n">
        <v>1354.83870967742</v>
      </c>
      <c r="L53" s="21" t="n">
        <v>6</v>
      </c>
      <c r="M53" s="21" t="n">
        <v>5</v>
      </c>
      <c r="N53" s="21" t="n">
        <v>1</v>
      </c>
      <c r="O53" s="21" t="n">
        <v>1</v>
      </c>
      <c r="P53" s="22" t="n">
        <v>0.833333333333333</v>
      </c>
      <c r="Q53" s="21" t="n">
        <v>0.833333333333333</v>
      </c>
      <c r="R53" s="22" t="n">
        <f aca="false">SUM(P33:P53)/21</f>
        <v>0.578285946857375</v>
      </c>
      <c r="S53" s="21" t="n">
        <f aca="false">SUM(Q33:Q53)/21</f>
        <v>0.578285946857375</v>
      </c>
      <c r="T53" s="21" t="n">
        <f aca="false">$X$34+$X$35*C53</f>
        <v>73.3792058089526</v>
      </c>
      <c r="U53" s="21" t="n">
        <f aca="false">T53*VLOOKUP(D53,$W$39:$Y$45,3,0)</f>
        <v>37.4065496656874</v>
      </c>
      <c r="Z53" s="23"/>
    </row>
    <row r="54" s="21" customFormat="true" ht="12.8" hidden="false" customHeight="false" outlineLevel="0" collapsed="false">
      <c r="A54" s="16" t="s">
        <v>37</v>
      </c>
      <c r="B54" s="17" t="n">
        <v>40930</v>
      </c>
      <c r="C54" s="18" t="n">
        <v>22</v>
      </c>
      <c r="D54" s="17" t="s">
        <v>21</v>
      </c>
      <c r="E54" s="17" t="s">
        <v>22</v>
      </c>
      <c r="F54" s="19" t="n">
        <v>79</v>
      </c>
      <c r="G54" s="19" t="n">
        <v>64.5161290322581</v>
      </c>
      <c r="H54" s="19" t="n">
        <v>14.4838709677419</v>
      </c>
      <c r="I54" s="20" t="s">
        <v>23</v>
      </c>
      <c r="J54" s="19" t="n">
        <v>2052.948259816</v>
      </c>
      <c r="K54" s="19" t="n">
        <v>1419.35483870967</v>
      </c>
      <c r="L54" s="21" t="n">
        <v>8</v>
      </c>
      <c r="M54" s="21" t="n">
        <v>3</v>
      </c>
      <c r="N54" s="21" t="n">
        <v>5</v>
      </c>
      <c r="O54" s="21" t="n">
        <v>5</v>
      </c>
      <c r="P54" s="22" t="n">
        <v>0.375</v>
      </c>
      <c r="Q54" s="21" t="n">
        <v>0.375</v>
      </c>
      <c r="R54" s="22" t="n">
        <f aca="false">SUM(P33:P54)/22</f>
        <v>0.569045676545677</v>
      </c>
      <c r="S54" s="21" t="n">
        <f aca="false">SUM(Q33:Q54)/22</f>
        <v>0.569045676545677</v>
      </c>
      <c r="T54" s="21" t="n">
        <f aca="false">$X$34+$X$35*C54</f>
        <v>71.1265655857154</v>
      </c>
      <c r="U54" s="21" t="n">
        <f aca="false">T54*VLOOKUP(D54,$W$39:$Y$45,3,0)</f>
        <v>71.5459627994651</v>
      </c>
      <c r="Z54" s="23"/>
    </row>
    <row r="55" s="21" customFormat="true" ht="12.8" hidden="false" customHeight="false" outlineLevel="0" collapsed="false">
      <c r="A55" s="16" t="s">
        <v>37</v>
      </c>
      <c r="B55" s="17" t="n">
        <v>40931</v>
      </c>
      <c r="C55" s="18" t="n">
        <v>23</v>
      </c>
      <c r="D55" s="17" t="s">
        <v>24</v>
      </c>
      <c r="E55" s="17" t="s">
        <v>25</v>
      </c>
      <c r="F55" s="19" t="n">
        <v>101.07</v>
      </c>
      <c r="G55" s="19" t="n">
        <v>64.5161290322581</v>
      </c>
      <c r="H55" s="19" t="n">
        <v>36.5538709677419</v>
      </c>
      <c r="I55" s="20" t="s">
        <v>23</v>
      </c>
      <c r="J55" s="19" t="n">
        <v>2154.018259816</v>
      </c>
      <c r="K55" s="19" t="n">
        <v>1483.87096774193</v>
      </c>
      <c r="L55" s="21" t="n">
        <v>7</v>
      </c>
      <c r="M55" s="21" t="n">
        <v>4</v>
      </c>
      <c r="N55" s="21" t="n">
        <v>3</v>
      </c>
      <c r="O55" s="21" t="n">
        <v>3</v>
      </c>
      <c r="P55" s="22" t="n">
        <v>0.571428571428571</v>
      </c>
      <c r="Q55" s="21" t="n">
        <v>0.571428571428571</v>
      </c>
      <c r="R55" s="22" t="n">
        <f aca="false">SUM(P33:P55)/23</f>
        <v>0.56914928067102</v>
      </c>
      <c r="S55" s="21" t="n">
        <f aca="false">SUM(Q33:Q55)/23</f>
        <v>0.56914928067102</v>
      </c>
      <c r="T55" s="21" t="n">
        <f aca="false">$X$34+$X$35*C55</f>
        <v>68.8739253624783</v>
      </c>
      <c r="U55" s="21" t="n">
        <f aca="false">T55*VLOOKUP(D55,$W$39:$Y$45,3,0)</f>
        <v>33.1745975345771</v>
      </c>
      <c r="Z55" s="23"/>
    </row>
    <row r="56" s="21" customFormat="true" ht="12.8" hidden="false" customHeight="false" outlineLevel="0" collapsed="false">
      <c r="A56" s="16" t="s">
        <v>37</v>
      </c>
      <c r="B56" s="17" t="n">
        <v>40932</v>
      </c>
      <c r="C56" s="18" t="n">
        <v>24</v>
      </c>
      <c r="D56" s="17" t="s">
        <v>28</v>
      </c>
      <c r="E56" s="17" t="s">
        <v>25</v>
      </c>
      <c r="F56" s="19"/>
      <c r="G56" s="19" t="n">
        <v>64.5161290322581</v>
      </c>
      <c r="H56" s="19"/>
      <c r="I56" s="20"/>
      <c r="J56" s="19"/>
      <c r="K56" s="19" t="n">
        <v>1548.38709677419</v>
      </c>
      <c r="P56" s="22"/>
      <c r="R56" s="22"/>
      <c r="T56" s="21" t="n">
        <f aca="false">$X$34+$X$35*C56</f>
        <v>66.6212851392411</v>
      </c>
      <c r="U56" s="21" t="n">
        <f aca="false">T56*VLOOKUP(D56,$W$39:$Y$45,3,0)</f>
        <v>13.8302834584444</v>
      </c>
      <c r="Z56" s="23"/>
    </row>
    <row r="57" s="21" customFormat="true" ht="12.8" hidden="false" customHeight="false" outlineLevel="0" collapsed="false">
      <c r="A57" s="16" t="s">
        <v>37</v>
      </c>
      <c r="B57" s="17" t="n">
        <v>40933</v>
      </c>
      <c r="C57" s="18" t="n">
        <v>25</v>
      </c>
      <c r="D57" s="17" t="s">
        <v>30</v>
      </c>
      <c r="E57" s="17" t="s">
        <v>25</v>
      </c>
      <c r="F57" s="19"/>
      <c r="G57" s="19" t="n">
        <v>64.5161290322581</v>
      </c>
      <c r="H57" s="19"/>
      <c r="I57" s="20"/>
      <c r="J57" s="19"/>
      <c r="K57" s="19" t="n">
        <v>1612.90322580645</v>
      </c>
      <c r="P57" s="22"/>
      <c r="R57" s="22"/>
      <c r="T57" s="21" t="n">
        <f aca="false">$X$34+$X$35*C57</f>
        <v>64.3686449160039</v>
      </c>
      <c r="U57" s="21" t="n">
        <f aca="false">T57*VLOOKUP(D57,$W$39:$Y$45,3,0)</f>
        <v>30.8399105983248</v>
      </c>
      <c r="Z57" s="23"/>
    </row>
    <row r="58" s="21" customFormat="true" ht="12.8" hidden="false" customHeight="false" outlineLevel="0" collapsed="false">
      <c r="A58" s="16" t="s">
        <v>37</v>
      </c>
      <c r="B58" s="17" t="n">
        <v>40934</v>
      </c>
      <c r="C58" s="18" t="n">
        <v>26</v>
      </c>
      <c r="D58" s="17" t="s">
        <v>32</v>
      </c>
      <c r="E58" s="17" t="s">
        <v>25</v>
      </c>
      <c r="F58" s="19"/>
      <c r="G58" s="19" t="n">
        <v>64.5161290322581</v>
      </c>
      <c r="H58" s="19"/>
      <c r="I58" s="20"/>
      <c r="J58" s="19"/>
      <c r="K58" s="19" t="n">
        <v>1677.41935483871</v>
      </c>
      <c r="P58" s="22"/>
      <c r="R58" s="22"/>
      <c r="T58" s="21" t="n">
        <f aca="false">$X$34+$X$35*C58</f>
        <v>62.1160046927668</v>
      </c>
      <c r="U58" s="21" t="n">
        <f aca="false">T58*VLOOKUP(D58,$W$39:$Y$45,3,0)</f>
        <v>21.442823948358</v>
      </c>
      <c r="Z58" s="23"/>
    </row>
    <row r="59" s="21" customFormat="true" ht="12.8" hidden="false" customHeight="false" outlineLevel="0" collapsed="false">
      <c r="A59" s="16" t="s">
        <v>37</v>
      </c>
      <c r="B59" s="17" t="n">
        <v>40935</v>
      </c>
      <c r="C59" s="18" t="n">
        <v>27</v>
      </c>
      <c r="D59" s="17" t="s">
        <v>33</v>
      </c>
      <c r="E59" s="17" t="s">
        <v>25</v>
      </c>
      <c r="F59" s="19"/>
      <c r="G59" s="19" t="n">
        <v>64.5161290322581</v>
      </c>
      <c r="H59" s="19"/>
      <c r="I59" s="20"/>
      <c r="J59" s="19"/>
      <c r="K59" s="19" t="n">
        <v>1741.93548387096</v>
      </c>
      <c r="P59" s="22"/>
      <c r="R59" s="22"/>
      <c r="T59" s="21" t="n">
        <f aca="false">$X$34+$X$35*C59</f>
        <v>59.8633644695296</v>
      </c>
      <c r="U59" s="21" t="n">
        <f aca="false">T59*VLOOKUP(D59,$W$39:$Y$45,3,0)</f>
        <v>52.5713911022558</v>
      </c>
      <c r="Z59" s="23"/>
    </row>
    <row r="60" s="21" customFormat="true" ht="12.8" hidden="false" customHeight="false" outlineLevel="0" collapsed="false">
      <c r="A60" s="16" t="s">
        <v>37</v>
      </c>
      <c r="B60" s="17" t="n">
        <v>40936</v>
      </c>
      <c r="C60" s="18" t="n">
        <v>28</v>
      </c>
      <c r="D60" s="17" t="s">
        <v>36</v>
      </c>
      <c r="E60" s="17" t="s">
        <v>22</v>
      </c>
      <c r="F60" s="19"/>
      <c r="G60" s="19" t="n">
        <v>64.5161290322581</v>
      </c>
      <c r="H60" s="19"/>
      <c r="I60" s="20"/>
      <c r="J60" s="19"/>
      <c r="K60" s="19" t="n">
        <v>1806.45161290322</v>
      </c>
      <c r="P60" s="22"/>
      <c r="R60" s="22"/>
      <c r="T60" s="21" t="n">
        <f aca="false">$X$34+$X$35*C60</f>
        <v>57.6107242462925</v>
      </c>
      <c r="U60" s="21" t="n">
        <f aca="false">T60*VLOOKUP(D60,$W$39:$Y$45,3,0)</f>
        <v>29.3682439600926</v>
      </c>
      <c r="Z60" s="23"/>
    </row>
    <row r="61" s="21" customFormat="true" ht="12.8" hidden="false" customHeight="false" outlineLevel="0" collapsed="false">
      <c r="A61" s="16" t="s">
        <v>37</v>
      </c>
      <c r="B61" s="17" t="n">
        <v>40937</v>
      </c>
      <c r="C61" s="18" t="n">
        <v>29</v>
      </c>
      <c r="D61" s="17" t="s">
        <v>21</v>
      </c>
      <c r="E61" s="17" t="s">
        <v>22</v>
      </c>
      <c r="F61" s="19"/>
      <c r="G61" s="19" t="n">
        <v>64.5161290322581</v>
      </c>
      <c r="H61" s="19"/>
      <c r="I61" s="20"/>
      <c r="J61" s="19"/>
      <c r="K61" s="19" t="n">
        <v>1870.96774193548</v>
      </c>
      <c r="P61" s="22"/>
      <c r="R61" s="22"/>
      <c r="T61" s="21" t="n">
        <f aca="false">$X$34+$X$35*C61</f>
        <v>55.3580840230553</v>
      </c>
      <c r="U61" s="21" t="n">
        <f aca="false">T61*VLOOKUP(D61,$W$39:$Y$45,3,0)</f>
        <v>55.6845025139048</v>
      </c>
      <c r="Z61" s="23"/>
    </row>
    <row r="62" s="21" customFormat="true" ht="12.8" hidden="false" customHeight="false" outlineLevel="0" collapsed="false">
      <c r="A62" s="16" t="s">
        <v>37</v>
      </c>
      <c r="B62" s="17" t="n">
        <v>40938</v>
      </c>
      <c r="C62" s="18" t="n">
        <v>30</v>
      </c>
      <c r="D62" s="17" t="s">
        <v>24</v>
      </c>
      <c r="E62" s="17" t="s">
        <v>25</v>
      </c>
      <c r="F62" s="19"/>
      <c r="G62" s="19" t="n">
        <v>64.5161290322581</v>
      </c>
      <c r="H62" s="19"/>
      <c r="I62" s="20"/>
      <c r="J62" s="19"/>
      <c r="K62" s="19" t="n">
        <v>1935.48387096774</v>
      </c>
      <c r="P62" s="22"/>
      <c r="R62" s="22"/>
      <c r="T62" s="21" t="n">
        <f aca="false">$X$34+$X$35*C62</f>
        <v>53.1054437998182</v>
      </c>
      <c r="U62" s="21" t="n">
        <f aca="false">T62*VLOOKUP(D62,$W$39:$Y$45,3,0)</f>
        <v>25.5793715209654</v>
      </c>
      <c r="Z62" s="23"/>
    </row>
    <row r="63" s="21" customFormat="true" ht="12.8" hidden="false" customHeight="false" outlineLevel="0" collapsed="false">
      <c r="A63" s="16" t="s">
        <v>37</v>
      </c>
      <c r="B63" s="17" t="n">
        <v>40939</v>
      </c>
      <c r="C63" s="18" t="n">
        <v>31</v>
      </c>
      <c r="D63" s="17" t="s">
        <v>28</v>
      </c>
      <c r="E63" s="17" t="s">
        <v>25</v>
      </c>
      <c r="F63" s="19"/>
      <c r="G63" s="19" t="n">
        <v>64.5161290322581</v>
      </c>
      <c r="H63" s="19"/>
      <c r="I63" s="20"/>
      <c r="J63" s="19"/>
      <c r="K63" s="19" t="n">
        <v>1999.99999999999</v>
      </c>
      <c r="P63" s="22"/>
      <c r="R63" s="22"/>
      <c r="T63" s="21" t="n">
        <f aca="false">$X$34+$X$35*C63</f>
        <v>50.852803576581</v>
      </c>
      <c r="U63" s="21" t="n">
        <f aca="false">T63*VLOOKUP(D63,$W$39:$Y$45,3,0)</f>
        <v>10.5568165887339</v>
      </c>
      <c r="Z63" s="23"/>
    </row>
    <row r="64" s="29" customFormat="true" ht="12.8" hidden="false" customHeight="false" outlineLevel="0" collapsed="false">
      <c r="A64" s="25" t="s">
        <v>40</v>
      </c>
      <c r="B64" s="26" t="n">
        <v>40909</v>
      </c>
      <c r="C64" s="25" t="n">
        <v>1</v>
      </c>
      <c r="D64" s="26" t="s">
        <v>21</v>
      </c>
      <c r="E64" s="26" t="s">
        <v>22</v>
      </c>
      <c r="F64" s="27" t="n">
        <v>78.264</v>
      </c>
      <c r="G64" s="27" t="n">
        <v>64.5161290322581</v>
      </c>
      <c r="H64" s="27" t="n">
        <v>13.7478709677419</v>
      </c>
      <c r="I64" s="28" t="s">
        <v>23</v>
      </c>
      <c r="J64" s="27" t="n">
        <v>78.264</v>
      </c>
      <c r="K64" s="27" t="n">
        <v>64.5161290322581</v>
      </c>
      <c r="L64" s="29" t="n">
        <v>3</v>
      </c>
      <c r="M64" s="29" t="n">
        <v>4</v>
      </c>
      <c r="N64" s="29" t="n">
        <v>-1</v>
      </c>
      <c r="O64" s="29" t="n">
        <v>0</v>
      </c>
      <c r="P64" s="30" t="n">
        <v>1.33333333333333</v>
      </c>
      <c r="Q64" s="29" t="n">
        <v>1.33333333333333</v>
      </c>
      <c r="R64" s="30" t="n">
        <f aca="false">P64/1</f>
        <v>1.33333333333333</v>
      </c>
      <c r="S64" s="29" t="n">
        <f aca="false">Q64/1</f>
        <v>1.33333333333333</v>
      </c>
      <c r="T64" s="29" t="n">
        <f aca="false">$X$65+$X$66*C64</f>
        <v>53.8787336956522</v>
      </c>
      <c r="U64" s="29" t="n">
        <f aca="false">T64*VLOOKUP(D64,$W$70:$Y$76,3,0)</f>
        <v>30.7170609616787</v>
      </c>
      <c r="Z64" s="31"/>
    </row>
    <row r="65" s="29" customFormat="true" ht="12.8" hidden="false" customHeight="false" outlineLevel="0" collapsed="false">
      <c r="A65" s="25" t="s">
        <v>40</v>
      </c>
      <c r="B65" s="26" t="n">
        <v>40910</v>
      </c>
      <c r="C65" s="25" t="n">
        <v>2</v>
      </c>
      <c r="D65" s="26" t="s">
        <v>24</v>
      </c>
      <c r="E65" s="26" t="s">
        <v>25</v>
      </c>
      <c r="F65" s="27" t="n">
        <v>39.132</v>
      </c>
      <c r="G65" s="27" t="n">
        <v>64.5161290322581</v>
      </c>
      <c r="H65" s="27" t="n">
        <v>-25.3841290322581</v>
      </c>
      <c r="I65" s="28" t="s">
        <v>26</v>
      </c>
      <c r="J65" s="27" t="n">
        <v>117.396</v>
      </c>
      <c r="K65" s="27" t="n">
        <v>129.032258064516</v>
      </c>
      <c r="L65" s="29" t="n">
        <v>5</v>
      </c>
      <c r="M65" s="29" t="n">
        <v>5</v>
      </c>
      <c r="N65" s="29" t="n">
        <v>0</v>
      </c>
      <c r="O65" s="29" t="n">
        <v>0</v>
      </c>
      <c r="P65" s="30" t="n">
        <v>1</v>
      </c>
      <c r="Q65" s="29" t="n">
        <v>1</v>
      </c>
      <c r="R65" s="30" t="n">
        <f aca="false">SUM(P64:P65)/2</f>
        <v>1.16666666666667</v>
      </c>
      <c r="S65" s="29" t="n">
        <f aca="false">SUM(Q64:Q65)/2</f>
        <v>1.16666666666667</v>
      </c>
      <c r="T65" s="29" t="n">
        <f aca="false">$X$65+$X$66*C65</f>
        <v>55.2904812252965</v>
      </c>
      <c r="U65" s="29" t="n">
        <f aca="false">T65*VLOOKUP(D65,$W$70:$Y$76,3,0)</f>
        <v>32.1467533457471</v>
      </c>
      <c r="W65" s="29" t="s">
        <v>41</v>
      </c>
      <c r="X65" s="29" t="n">
        <f aca="false">INTERCEPT(F$64:F$86,C$64:C$86)</f>
        <v>52.4669861660079</v>
      </c>
      <c r="Z65" s="32"/>
    </row>
    <row r="66" s="29" customFormat="true" ht="12.8" hidden="false" customHeight="false" outlineLevel="0" collapsed="false">
      <c r="A66" s="25" t="s">
        <v>40</v>
      </c>
      <c r="B66" s="26" t="n">
        <v>40911</v>
      </c>
      <c r="C66" s="25" t="n">
        <v>3</v>
      </c>
      <c r="D66" s="26" t="s">
        <v>28</v>
      </c>
      <c r="E66" s="26" t="s">
        <v>25</v>
      </c>
      <c r="F66" s="27" t="n">
        <v>48.915</v>
      </c>
      <c r="G66" s="27" t="n">
        <v>64.5161290322581</v>
      </c>
      <c r="H66" s="27" t="n">
        <v>-15.6011290322581</v>
      </c>
      <c r="I66" s="28" t="s">
        <v>26</v>
      </c>
      <c r="J66" s="27" t="n">
        <v>166.311</v>
      </c>
      <c r="K66" s="27" t="n">
        <v>193.548387096774</v>
      </c>
      <c r="L66" s="29" t="n">
        <v>6</v>
      </c>
      <c r="M66" s="29" t="n">
        <v>4</v>
      </c>
      <c r="N66" s="29" t="n">
        <v>2</v>
      </c>
      <c r="O66" s="29" t="n">
        <v>2</v>
      </c>
      <c r="P66" s="30" t="n">
        <v>0.666666666666667</v>
      </c>
      <c r="Q66" s="29" t="n">
        <v>0.666666666666667</v>
      </c>
      <c r="R66" s="30" t="n">
        <f aca="false">SUM(P64:P66)/3</f>
        <v>0.999999999999999</v>
      </c>
      <c r="S66" s="29" t="n">
        <f aca="false">SUM(Q64:Q66)/3</f>
        <v>0.999999999999999</v>
      </c>
      <c r="T66" s="29" t="n">
        <f aca="false">$X$65+$X$66*C66</f>
        <v>56.7022287549407</v>
      </c>
      <c r="U66" s="29" t="n">
        <f aca="false">T66*VLOOKUP(D66,$W$70:$Y$76,3,0)</f>
        <v>37.2966397702152</v>
      </c>
      <c r="W66" s="29" t="s">
        <v>42</v>
      </c>
      <c r="X66" s="29" t="n">
        <f aca="false">SLOPE(F$64:F$86,C$64:C$86)</f>
        <v>1.41174752964427</v>
      </c>
      <c r="Z66" s="32"/>
    </row>
    <row r="67" s="29" customFormat="true" ht="12.8" hidden="false" customHeight="false" outlineLevel="0" collapsed="false">
      <c r="A67" s="25" t="s">
        <v>40</v>
      </c>
      <c r="B67" s="26" t="n">
        <v>40912</v>
      </c>
      <c r="C67" s="25" t="n">
        <v>4</v>
      </c>
      <c r="D67" s="26" t="s">
        <v>30</v>
      </c>
      <c r="E67" s="26" t="s">
        <v>25</v>
      </c>
      <c r="F67" s="27" t="n">
        <v>58.698</v>
      </c>
      <c r="G67" s="27" t="n">
        <v>64.5161290322581</v>
      </c>
      <c r="H67" s="27" t="n">
        <v>-5.81812903225806</v>
      </c>
      <c r="I67" s="28" t="s">
        <v>26</v>
      </c>
      <c r="J67" s="27" t="n">
        <v>225.009</v>
      </c>
      <c r="K67" s="27" t="n">
        <v>258.064516129032</v>
      </c>
      <c r="L67" s="29" t="n">
        <v>2</v>
      </c>
      <c r="M67" s="29" t="n">
        <v>2</v>
      </c>
      <c r="N67" s="29" t="n">
        <v>0</v>
      </c>
      <c r="O67" s="29" t="n">
        <v>0</v>
      </c>
      <c r="P67" s="30" t="n">
        <v>1</v>
      </c>
      <c r="Q67" s="29" t="n">
        <v>1</v>
      </c>
      <c r="R67" s="30" t="n">
        <f aca="false">SUM(P64:P67)/4</f>
        <v>0.999999999999999</v>
      </c>
      <c r="S67" s="29" t="n">
        <f aca="false">SUM(Q64:Q67)/4</f>
        <v>0.999999999999999</v>
      </c>
      <c r="T67" s="29" t="n">
        <f aca="false">$X$65+$X$66*C67</f>
        <v>58.113976284585</v>
      </c>
      <c r="U67" s="29" t="n">
        <f aca="false">T67*VLOOKUP(D67,$W$70:$Y$76,3,0)</f>
        <v>49.1467311659603</v>
      </c>
      <c r="W67" s="29" t="s">
        <v>31</v>
      </c>
      <c r="X67" s="29" t="n">
        <f aca="false">SUM(F64:F86)/23</f>
        <v>69.4079565217391</v>
      </c>
      <c r="Z67" s="32"/>
    </row>
    <row r="68" s="29" customFormat="true" ht="12.8" hidden="false" customHeight="false" outlineLevel="0" collapsed="false">
      <c r="A68" s="25" t="s">
        <v>40</v>
      </c>
      <c r="B68" s="26" t="n">
        <v>40913</v>
      </c>
      <c r="C68" s="25" t="n">
        <v>5</v>
      </c>
      <c r="D68" s="26" t="s">
        <v>32</v>
      </c>
      <c r="E68" s="26" t="s">
        <v>25</v>
      </c>
      <c r="F68" s="27" t="n">
        <v>68.481</v>
      </c>
      <c r="G68" s="27" t="n">
        <v>64.5161290322581</v>
      </c>
      <c r="H68" s="27" t="n">
        <v>3.96487096774193</v>
      </c>
      <c r="I68" s="28" t="s">
        <v>23</v>
      </c>
      <c r="J68" s="27" t="n">
        <v>293.49</v>
      </c>
      <c r="K68" s="27" t="n">
        <v>322.58064516129</v>
      </c>
      <c r="L68" s="29" t="n">
        <v>8</v>
      </c>
      <c r="M68" s="29" t="n">
        <v>5</v>
      </c>
      <c r="N68" s="29" t="n">
        <v>3</v>
      </c>
      <c r="O68" s="29" t="n">
        <v>3</v>
      </c>
      <c r="P68" s="30" t="n">
        <v>0.625</v>
      </c>
      <c r="Q68" s="29" t="n">
        <v>0.625</v>
      </c>
      <c r="R68" s="30" t="n">
        <f aca="false">SUM(P64:P68)/5</f>
        <v>0.924999999999999</v>
      </c>
      <c r="S68" s="29" t="n">
        <f aca="false">SUM(Q64:Q68)/5</f>
        <v>0.924999999999999</v>
      </c>
      <c r="T68" s="29" t="n">
        <f aca="false">$X$65+$X$66*C68</f>
        <v>59.5257238142293</v>
      </c>
      <c r="U68" s="29" t="n">
        <f aca="false">T68*VLOOKUP(D68,$W$70:$Y$76,3,0)</f>
        <v>54.5356930843998</v>
      </c>
      <c r="Z68" s="32"/>
    </row>
    <row r="69" s="29" customFormat="true" ht="12.8" hidden="false" customHeight="false" outlineLevel="0" collapsed="false">
      <c r="A69" s="25" t="s">
        <v>40</v>
      </c>
      <c r="B69" s="26" t="n">
        <v>40914</v>
      </c>
      <c r="C69" s="25" t="n">
        <v>6</v>
      </c>
      <c r="D69" s="26" t="s">
        <v>33</v>
      </c>
      <c r="E69" s="26" t="s">
        <v>25</v>
      </c>
      <c r="F69" s="27" t="n">
        <v>117.396</v>
      </c>
      <c r="G69" s="27" t="n">
        <v>64.5161290322581</v>
      </c>
      <c r="H69" s="27" t="n">
        <v>52.8798709677419</v>
      </c>
      <c r="I69" s="28" t="s">
        <v>23</v>
      </c>
      <c r="J69" s="27" t="n">
        <v>410.886</v>
      </c>
      <c r="K69" s="27" t="n">
        <v>387.096774193548</v>
      </c>
      <c r="L69" s="29" t="n">
        <v>5</v>
      </c>
      <c r="M69" s="29" t="n">
        <v>6</v>
      </c>
      <c r="N69" s="29" t="n">
        <v>-1</v>
      </c>
      <c r="O69" s="29" t="n">
        <v>0</v>
      </c>
      <c r="P69" s="30" t="n">
        <v>1.2</v>
      </c>
      <c r="Q69" s="29" t="n">
        <v>1.2</v>
      </c>
      <c r="R69" s="30" t="n">
        <f aca="false">SUM(P64:P69)/6</f>
        <v>0.970833333333333</v>
      </c>
      <c r="S69" s="29" t="n">
        <f aca="false">SUM(Q64:Q69)/6</f>
        <v>0.970833333333333</v>
      </c>
      <c r="T69" s="29" t="n">
        <f aca="false">$X$65+$X$66*C69</f>
        <v>60.9374713438735</v>
      </c>
      <c r="U69" s="29" t="n">
        <f aca="false">T69*VLOOKUP(D69,$W$70:$Y$76,3,0)</f>
        <v>100.206066283692</v>
      </c>
      <c r="W69" s="33" t="s">
        <v>34</v>
      </c>
      <c r="X69" s="33"/>
      <c r="Y69" s="25" t="s">
        <v>35</v>
      </c>
      <c r="Z69" s="32"/>
    </row>
    <row r="70" s="29" customFormat="true" ht="12.8" hidden="false" customHeight="false" outlineLevel="0" collapsed="false">
      <c r="A70" s="25" t="s">
        <v>40</v>
      </c>
      <c r="B70" s="26" t="n">
        <v>40915</v>
      </c>
      <c r="C70" s="25" t="n">
        <v>7</v>
      </c>
      <c r="D70" s="26" t="s">
        <v>36</v>
      </c>
      <c r="E70" s="26" t="s">
        <v>22</v>
      </c>
      <c r="F70" s="27" t="n">
        <v>185.877</v>
      </c>
      <c r="G70" s="27" t="n">
        <v>64.5161290322581</v>
      </c>
      <c r="H70" s="27" t="n">
        <v>121.360870967742</v>
      </c>
      <c r="I70" s="28" t="s">
        <v>23</v>
      </c>
      <c r="J70" s="27" t="n">
        <v>596.763</v>
      </c>
      <c r="K70" s="27" t="n">
        <v>451.612903225805</v>
      </c>
      <c r="L70" s="29" t="n">
        <v>4</v>
      </c>
      <c r="M70" s="29" t="n">
        <v>3</v>
      </c>
      <c r="N70" s="29" t="n">
        <v>1</v>
      </c>
      <c r="O70" s="29" t="n">
        <v>1</v>
      </c>
      <c r="P70" s="30" t="n">
        <v>0.75</v>
      </c>
      <c r="Q70" s="29" t="n">
        <v>0.75</v>
      </c>
      <c r="R70" s="30" t="n">
        <f aca="false">SUM(P64:P70)/7</f>
        <v>0.939285714285714</v>
      </c>
      <c r="S70" s="29" t="n">
        <f aca="false">SUM(Q64:Q70)/7</f>
        <v>0.939285714285714</v>
      </c>
      <c r="T70" s="29" t="n">
        <f aca="false">$X$65+$X$66*C70</f>
        <v>62.3492188735178</v>
      </c>
      <c r="U70" s="29" t="n">
        <f aca="false">T70*VLOOKUP(D70,$W$70:$Y$76,3,0)</f>
        <v>128.891783725773</v>
      </c>
      <c r="W70" s="29" t="s">
        <v>21</v>
      </c>
      <c r="X70" s="29" t="n">
        <f aca="false">(F64+F71+F78+F85)/4</f>
        <v>39.5705</v>
      </c>
      <c r="Y70" s="29" t="n">
        <f aca="false">X70/$X$67</f>
        <v>0.570114753163871</v>
      </c>
      <c r="Z70" s="32"/>
    </row>
    <row r="71" s="29" customFormat="true" ht="12.8" hidden="false" customHeight="false" outlineLevel="0" collapsed="false">
      <c r="A71" s="25" t="s">
        <v>40</v>
      </c>
      <c r="B71" s="26" t="n">
        <v>40916</v>
      </c>
      <c r="C71" s="25" t="n">
        <v>8</v>
      </c>
      <c r="D71" s="26" t="s">
        <v>21</v>
      </c>
      <c r="E71" s="26" t="s">
        <v>22</v>
      </c>
      <c r="F71" s="27" t="n">
        <v>9.783</v>
      </c>
      <c r="G71" s="27" t="n">
        <v>64.5161290322581</v>
      </c>
      <c r="H71" s="27" t="n">
        <v>-54.7331290322581</v>
      </c>
      <c r="I71" s="28" t="s">
        <v>26</v>
      </c>
      <c r="J71" s="27" t="n">
        <v>606.546</v>
      </c>
      <c r="K71" s="27" t="n">
        <v>516.129032258063</v>
      </c>
      <c r="L71" s="29" t="n">
        <v>3</v>
      </c>
      <c r="M71" s="29" t="n">
        <v>3</v>
      </c>
      <c r="N71" s="29" t="n">
        <v>0</v>
      </c>
      <c r="O71" s="29" t="n">
        <v>0</v>
      </c>
      <c r="P71" s="30" t="n">
        <v>1</v>
      </c>
      <c r="Q71" s="29" t="n">
        <v>1</v>
      </c>
      <c r="R71" s="30" t="n">
        <f aca="false">SUM(P64:P71)/8</f>
        <v>0.946875</v>
      </c>
      <c r="S71" s="29" t="n">
        <f aca="false">SUM(Q64:Q71)/8</f>
        <v>0.946875</v>
      </c>
      <c r="T71" s="29" t="n">
        <f aca="false">$X$65+$X$66*C71</f>
        <v>63.7609664031621</v>
      </c>
      <c r="U71" s="29" t="n">
        <f aca="false">T71*VLOOKUP(D71,$W$70:$Y$76,3,0)</f>
        <v>36.3510676224286</v>
      </c>
      <c r="W71" s="29" t="s">
        <v>24</v>
      </c>
      <c r="X71" s="29" t="n">
        <f aca="false">(F65+F72+F79+F86)/4</f>
        <v>40.354875</v>
      </c>
      <c r="Y71" s="29" t="n">
        <f aca="false">X71/$X$67</f>
        <v>0.581415690971403</v>
      </c>
      <c r="Z71" s="32"/>
    </row>
    <row r="72" s="29" customFormat="true" ht="12.8" hidden="false" customHeight="false" outlineLevel="0" collapsed="false">
      <c r="A72" s="25" t="s">
        <v>40</v>
      </c>
      <c r="B72" s="26" t="n">
        <v>40917</v>
      </c>
      <c r="C72" s="25" t="n">
        <v>9</v>
      </c>
      <c r="D72" s="26" t="s">
        <v>24</v>
      </c>
      <c r="E72" s="26" t="s">
        <v>25</v>
      </c>
      <c r="F72" s="27" t="n">
        <v>14.6745</v>
      </c>
      <c r="G72" s="27" t="n">
        <v>64.5161290322581</v>
      </c>
      <c r="H72" s="27" t="n">
        <v>-49.8416290322581</v>
      </c>
      <c r="I72" s="28" t="s">
        <v>26</v>
      </c>
      <c r="J72" s="27" t="n">
        <v>621.2205</v>
      </c>
      <c r="K72" s="27" t="n">
        <v>580.645161290321</v>
      </c>
      <c r="L72" s="29" t="n">
        <v>2</v>
      </c>
      <c r="M72" s="29" t="n">
        <v>2</v>
      </c>
      <c r="N72" s="29" t="n">
        <v>0</v>
      </c>
      <c r="O72" s="29" t="n">
        <v>0</v>
      </c>
      <c r="P72" s="30" t="n">
        <v>1</v>
      </c>
      <c r="Q72" s="29" t="n">
        <v>1</v>
      </c>
      <c r="R72" s="30" t="n">
        <f aca="false">SUM(P64:P72)/9</f>
        <v>0.952777777777778</v>
      </c>
      <c r="S72" s="29" t="n">
        <f aca="false">SUM(Q64:Q72)/9</f>
        <v>0.952777777777778</v>
      </c>
      <c r="T72" s="29" t="n">
        <f aca="false">$X$65+$X$66*C72</f>
        <v>65.1727139328063</v>
      </c>
      <c r="U72" s="29" t="n">
        <f aca="false">T72*VLOOKUP(D72,$W$70:$Y$76,3,0)</f>
        <v>37.8924385037242</v>
      </c>
      <c r="W72" s="29" t="s">
        <v>28</v>
      </c>
      <c r="X72" s="29" t="n">
        <f aca="false">(F66+F73+F80)/3</f>
        <v>45.654</v>
      </c>
      <c r="Y72" s="29" t="n">
        <f aca="false">X72/$X$67</f>
        <v>0.657763205947445</v>
      </c>
      <c r="Z72" s="32"/>
    </row>
    <row r="73" s="29" customFormat="true" ht="12.8" hidden="false" customHeight="false" outlineLevel="0" collapsed="false">
      <c r="A73" s="25" t="s">
        <v>40</v>
      </c>
      <c r="B73" s="26" t="n">
        <v>40918</v>
      </c>
      <c r="C73" s="25" t="n">
        <v>10</v>
      </c>
      <c r="D73" s="26" t="s">
        <v>28</v>
      </c>
      <c r="E73" s="26" t="s">
        <v>25</v>
      </c>
      <c r="F73" s="27" t="n">
        <v>58.698</v>
      </c>
      <c r="G73" s="27" t="n">
        <v>64.5161290322581</v>
      </c>
      <c r="H73" s="27" t="n">
        <v>-5.81812903225806</v>
      </c>
      <c r="I73" s="28" t="s">
        <v>26</v>
      </c>
      <c r="J73" s="27" t="n">
        <v>679.9185</v>
      </c>
      <c r="K73" s="27" t="n">
        <v>645.161290322579</v>
      </c>
      <c r="L73" s="29" t="n">
        <v>7</v>
      </c>
      <c r="M73" s="29" t="n">
        <v>6</v>
      </c>
      <c r="N73" s="29" t="n">
        <v>1</v>
      </c>
      <c r="O73" s="29" t="n">
        <v>1</v>
      </c>
      <c r="P73" s="30" t="n">
        <v>0.857142857142857</v>
      </c>
      <c r="Q73" s="29" t="n">
        <v>0.857142857142857</v>
      </c>
      <c r="R73" s="30" t="n">
        <f aca="false">SUM(P64:P73)/10</f>
        <v>0.943214285714285</v>
      </c>
      <c r="S73" s="29" t="n">
        <f aca="false">SUM(Q64:Q73)/10</f>
        <v>0.943214285714285</v>
      </c>
      <c r="T73" s="29" t="n">
        <f aca="false">$X$65+$X$66*C73</f>
        <v>66.5844614624506</v>
      </c>
      <c r="U73" s="29" t="n">
        <f aca="false">T73*VLOOKUP(D73,$W$70:$Y$76,3,0)</f>
        <v>43.7968088378256</v>
      </c>
      <c r="W73" s="29" t="s">
        <v>30</v>
      </c>
      <c r="X73" s="29" t="n">
        <f aca="false">(F67+F74+F81)/3</f>
        <v>58.698</v>
      </c>
      <c r="Y73" s="29" t="n">
        <f aca="false">X73/$X$67</f>
        <v>0.845695550503858</v>
      </c>
      <c r="Z73" s="32"/>
    </row>
    <row r="74" s="29" customFormat="true" ht="12.8" hidden="false" customHeight="false" outlineLevel="0" collapsed="false">
      <c r="A74" s="25" t="s">
        <v>40</v>
      </c>
      <c r="B74" s="26" t="n">
        <v>40919</v>
      </c>
      <c r="C74" s="25" t="n">
        <v>11</v>
      </c>
      <c r="D74" s="26" t="s">
        <v>30</v>
      </c>
      <c r="E74" s="26" t="s">
        <v>25</v>
      </c>
      <c r="F74" s="27" t="n">
        <v>39.132</v>
      </c>
      <c r="G74" s="27" t="n">
        <v>64.5161290322581</v>
      </c>
      <c r="H74" s="27" t="n">
        <v>-25.3841290322581</v>
      </c>
      <c r="I74" s="28" t="s">
        <v>26</v>
      </c>
      <c r="J74" s="27" t="n">
        <v>719.0505</v>
      </c>
      <c r="K74" s="27" t="n">
        <v>709.677419354837</v>
      </c>
      <c r="L74" s="29" t="n">
        <v>1</v>
      </c>
      <c r="M74" s="29" t="n">
        <v>1</v>
      </c>
      <c r="N74" s="29" t="n">
        <v>0</v>
      </c>
      <c r="O74" s="29" t="n">
        <v>0</v>
      </c>
      <c r="P74" s="30" t="n">
        <v>1</v>
      </c>
      <c r="Q74" s="29" t="n">
        <v>1</v>
      </c>
      <c r="R74" s="30" t="n">
        <f aca="false">SUM(P64:P74)/11</f>
        <v>0.948376623376623</v>
      </c>
      <c r="S74" s="29" t="n">
        <f aca="false">SUM(Q64:Q74)/11</f>
        <v>0.948376623376623</v>
      </c>
      <c r="T74" s="29" t="n">
        <f aca="false">$X$65+$X$66*C74</f>
        <v>67.9962089920949</v>
      </c>
      <c r="U74" s="29" t="n">
        <f aca="false">T74*VLOOKUP(D74,$W$70:$Y$76,3,0)</f>
        <v>57.5040913957451</v>
      </c>
      <c r="W74" s="29" t="s">
        <v>32</v>
      </c>
      <c r="X74" s="29" t="n">
        <f aca="false">(F68+F75+F82)/3</f>
        <v>63.5895</v>
      </c>
      <c r="Y74" s="29" t="n">
        <f aca="false">X74/$X$67</f>
        <v>0.916170179712513</v>
      </c>
      <c r="Z74" s="32"/>
    </row>
    <row r="75" s="29" customFormat="true" ht="12.8" hidden="false" customHeight="false" outlineLevel="0" collapsed="false">
      <c r="A75" s="25" t="s">
        <v>40</v>
      </c>
      <c r="B75" s="26" t="n">
        <v>40920</v>
      </c>
      <c r="C75" s="25" t="n">
        <v>12</v>
      </c>
      <c r="D75" s="26" t="s">
        <v>32</v>
      </c>
      <c r="E75" s="26" t="s">
        <v>25</v>
      </c>
      <c r="F75" s="27" t="n">
        <v>34.2405</v>
      </c>
      <c r="G75" s="27" t="n">
        <v>64.5161290322581</v>
      </c>
      <c r="H75" s="27" t="n">
        <v>-30.2756290322581</v>
      </c>
      <c r="I75" s="28" t="s">
        <v>26</v>
      </c>
      <c r="J75" s="27" t="n">
        <v>753.291</v>
      </c>
      <c r="K75" s="27" t="n">
        <v>774.193548387095</v>
      </c>
      <c r="L75" s="29" t="n">
        <v>4</v>
      </c>
      <c r="M75" s="29" t="n">
        <v>4</v>
      </c>
      <c r="N75" s="29" t="n">
        <v>0</v>
      </c>
      <c r="O75" s="29" t="n">
        <v>0</v>
      </c>
      <c r="P75" s="30" t="n">
        <v>1</v>
      </c>
      <c r="Q75" s="29" t="n">
        <v>1</v>
      </c>
      <c r="R75" s="30" t="n">
        <f aca="false">SUM(P64:P75)/12</f>
        <v>0.952678571428571</v>
      </c>
      <c r="S75" s="29" t="n">
        <f aca="false">SUM(Q64:Q75)/12</f>
        <v>0.952678571428571</v>
      </c>
      <c r="T75" s="29" t="n">
        <f aca="false">$X$65+$X$66*C75</f>
        <v>69.4079565217391</v>
      </c>
      <c r="U75" s="29" t="n">
        <f aca="false">T75*VLOOKUP(D75,$W$70:$Y$76,3,0)</f>
        <v>63.5895</v>
      </c>
      <c r="W75" s="29" t="s">
        <v>33</v>
      </c>
      <c r="X75" s="29" t="n">
        <f aca="false">(F69+F76+F83)/3</f>
        <v>114.135</v>
      </c>
      <c r="Y75" s="29" t="n">
        <f aca="false">X75/$X$67</f>
        <v>1.64440801486861</v>
      </c>
      <c r="Z75" s="32"/>
    </row>
    <row r="76" s="29" customFormat="true" ht="12.8" hidden="false" customHeight="false" outlineLevel="0" collapsed="false">
      <c r="A76" s="25" t="s">
        <v>40</v>
      </c>
      <c r="B76" s="26" t="n">
        <v>40921</v>
      </c>
      <c r="C76" s="25" t="n">
        <v>13</v>
      </c>
      <c r="D76" s="26" t="s">
        <v>33</v>
      </c>
      <c r="E76" s="26" t="s">
        <v>25</v>
      </c>
      <c r="F76" s="27" t="n">
        <v>78.264</v>
      </c>
      <c r="G76" s="27" t="n">
        <v>64.5161290322581</v>
      </c>
      <c r="H76" s="27" t="n">
        <v>13.7478709677419</v>
      </c>
      <c r="I76" s="28" t="s">
        <v>23</v>
      </c>
      <c r="J76" s="27" t="n">
        <v>831.555</v>
      </c>
      <c r="K76" s="27" t="n">
        <v>838.709677419353</v>
      </c>
      <c r="L76" s="29" t="n">
        <v>10</v>
      </c>
      <c r="M76" s="29" t="n">
        <v>2</v>
      </c>
      <c r="N76" s="29" t="n">
        <v>8</v>
      </c>
      <c r="O76" s="29" t="n">
        <v>8</v>
      </c>
      <c r="P76" s="30" t="n">
        <v>0.2</v>
      </c>
      <c r="Q76" s="29" t="n">
        <v>0.2</v>
      </c>
      <c r="R76" s="30" t="n">
        <f aca="false">SUM(P64:P76)/13</f>
        <v>0.89478021978022</v>
      </c>
      <c r="S76" s="29" t="n">
        <f aca="false">SUM(Q64:Q76)/13</f>
        <v>0.89478021978022</v>
      </c>
      <c r="T76" s="29" t="n">
        <f aca="false">$X$65+$X$66*C76</f>
        <v>70.8197040513834</v>
      </c>
      <c r="U76" s="29" t="n">
        <f aca="false">T76*VLOOKUP(D76,$W$70:$Y$76,3,0)</f>
        <v>116.456488952718</v>
      </c>
      <c r="W76" s="29" t="s">
        <v>36</v>
      </c>
      <c r="X76" s="29" t="n">
        <f aca="false">(F70+F77+F84)/3</f>
        <v>143.484</v>
      </c>
      <c r="Y76" s="29" t="n">
        <f aca="false">X76/$X$67</f>
        <v>2.06725579012054</v>
      </c>
      <c r="Z76" s="32"/>
    </row>
    <row r="77" s="29" customFormat="true" ht="12.8" hidden="false" customHeight="false" outlineLevel="0" collapsed="false">
      <c r="A77" s="25" t="s">
        <v>40</v>
      </c>
      <c r="B77" s="26" t="n">
        <v>40922</v>
      </c>
      <c r="C77" s="25" t="n">
        <v>14</v>
      </c>
      <c r="D77" s="26" t="s">
        <v>36</v>
      </c>
      <c r="E77" s="26" t="s">
        <v>22</v>
      </c>
      <c r="F77" s="27" t="n">
        <v>48.915</v>
      </c>
      <c r="G77" s="27" t="n">
        <v>64.5161290322581</v>
      </c>
      <c r="H77" s="27" t="n">
        <v>-15.6011290322581</v>
      </c>
      <c r="I77" s="28" t="s">
        <v>26</v>
      </c>
      <c r="J77" s="27" t="n">
        <v>880.47</v>
      </c>
      <c r="K77" s="27" t="n">
        <v>903.22580645161</v>
      </c>
      <c r="L77" s="29" t="n">
        <v>1</v>
      </c>
      <c r="M77" s="29" t="n">
        <v>1</v>
      </c>
      <c r="N77" s="29" t="n">
        <v>0</v>
      </c>
      <c r="O77" s="29" t="n">
        <v>0</v>
      </c>
      <c r="P77" s="30" t="n">
        <v>1</v>
      </c>
      <c r="Q77" s="29" t="n">
        <v>1</v>
      </c>
      <c r="R77" s="30" t="n">
        <f aca="false">SUM(P64:P77)/14</f>
        <v>0.902295918367347</v>
      </c>
      <c r="S77" s="29" t="n">
        <f aca="false">SUM(Q64:Q77)/14</f>
        <v>0.902295918367347</v>
      </c>
      <c r="T77" s="29" t="n">
        <f aca="false">$X$65+$X$66*C77</f>
        <v>72.2314515810277</v>
      </c>
      <c r="U77" s="29" t="n">
        <f aca="false">T77*VLOOKUP(D77,$W$70:$Y$76,3,0)</f>
        <v>149.320886509691</v>
      </c>
      <c r="Z77" s="32"/>
    </row>
    <row r="78" s="29" customFormat="true" ht="12.8" hidden="false" customHeight="false" outlineLevel="0" collapsed="false">
      <c r="A78" s="25" t="s">
        <v>40</v>
      </c>
      <c r="B78" s="26" t="n">
        <v>40923</v>
      </c>
      <c r="C78" s="25" t="n">
        <v>15</v>
      </c>
      <c r="D78" s="26" t="s">
        <v>21</v>
      </c>
      <c r="E78" s="26" t="s">
        <v>22</v>
      </c>
      <c r="F78" s="27" t="n">
        <v>21.32</v>
      </c>
      <c r="G78" s="27" t="n">
        <v>64.5161290322581</v>
      </c>
      <c r="H78" s="27" t="n">
        <v>-43.1961290322581</v>
      </c>
      <c r="I78" s="28" t="s">
        <v>26</v>
      </c>
      <c r="J78" s="27" t="n">
        <v>901.79</v>
      </c>
      <c r="K78" s="27" t="n">
        <v>967.741935483869</v>
      </c>
      <c r="L78" s="29" t="n">
        <v>1</v>
      </c>
      <c r="M78" s="29" t="n">
        <v>1</v>
      </c>
      <c r="N78" s="29" t="n">
        <v>0</v>
      </c>
      <c r="O78" s="29" t="n">
        <v>0</v>
      </c>
      <c r="P78" s="30" t="n">
        <v>1</v>
      </c>
      <c r="Q78" s="29" t="n">
        <v>1</v>
      </c>
      <c r="R78" s="30" t="n">
        <f aca="false">SUM(P64:P78)/15</f>
        <v>0.908809523809524</v>
      </c>
      <c r="S78" s="29" t="n">
        <f aca="false">SUM(Q64:Q78)/15</f>
        <v>0.908809523809524</v>
      </c>
      <c r="T78" s="29" t="n">
        <f aca="false">$X$65+$X$66*C78</f>
        <v>73.6431991106719</v>
      </c>
      <c r="U78" s="29" t="n">
        <f aca="false">T78*VLOOKUP(D78,$W$70:$Y$76,3,0)</f>
        <v>41.9850742831786</v>
      </c>
      <c r="W78" s="29" t="s">
        <v>22</v>
      </c>
      <c r="X78" s="29" t="n">
        <f aca="false">(X76+X70)/2</f>
        <v>91.52725</v>
      </c>
      <c r="Z78" s="32"/>
    </row>
    <row r="79" s="29" customFormat="true" ht="12.8" hidden="false" customHeight="false" outlineLevel="0" collapsed="false">
      <c r="A79" s="25" t="s">
        <v>40</v>
      </c>
      <c r="B79" s="26" t="n">
        <v>40924</v>
      </c>
      <c r="C79" s="25" t="n">
        <v>16</v>
      </c>
      <c r="D79" s="26" t="s">
        <v>24</v>
      </c>
      <c r="E79" s="26" t="s">
        <v>25</v>
      </c>
      <c r="F79" s="27" t="n">
        <v>19.566</v>
      </c>
      <c r="G79" s="27" t="n">
        <v>64.5161290322581</v>
      </c>
      <c r="H79" s="27" t="n">
        <v>-44.9501290322581</v>
      </c>
      <c r="I79" s="28" t="s">
        <v>26</v>
      </c>
      <c r="J79" s="27" t="n">
        <v>921.356</v>
      </c>
      <c r="K79" s="27" t="n">
        <v>1032.25806451613</v>
      </c>
      <c r="L79" s="29" t="n">
        <v>2</v>
      </c>
      <c r="M79" s="29" t="n">
        <v>1</v>
      </c>
      <c r="N79" s="29" t="n">
        <v>1</v>
      </c>
      <c r="O79" s="29" t="n">
        <v>1</v>
      </c>
      <c r="P79" s="30" t="n">
        <v>0.5</v>
      </c>
      <c r="Q79" s="29" t="n">
        <v>0.5</v>
      </c>
      <c r="R79" s="30" t="n">
        <f aca="false">SUM(P64:P79)/16</f>
        <v>0.883258928571428</v>
      </c>
      <c r="S79" s="29" t="n">
        <f aca="false">SUM(Q64:Q79)/16</f>
        <v>0.883258928571428</v>
      </c>
      <c r="T79" s="29" t="n">
        <f aca="false">$X$65+$X$66*C79</f>
        <v>75.0549466403162</v>
      </c>
      <c r="U79" s="29" t="n">
        <f aca="false">T79*VLOOKUP(D79,$W$70:$Y$76,3,0)</f>
        <v>43.6381236617012</v>
      </c>
      <c r="W79" s="29" t="s">
        <v>25</v>
      </c>
      <c r="X79" s="29" t="n">
        <f aca="false">(X71+X72+X73+X74+X75)/5</f>
        <v>64.486275</v>
      </c>
      <c r="Z79" s="32"/>
    </row>
    <row r="80" s="29" customFormat="true" ht="12.8" hidden="false" customHeight="false" outlineLevel="0" collapsed="false">
      <c r="A80" s="25" t="s">
        <v>40</v>
      </c>
      <c r="B80" s="26" t="n">
        <v>40925</v>
      </c>
      <c r="C80" s="25" t="n">
        <v>17</v>
      </c>
      <c r="D80" s="26" t="s">
        <v>28</v>
      </c>
      <c r="E80" s="26" t="s">
        <v>25</v>
      </c>
      <c r="F80" s="27" t="n">
        <v>29.349</v>
      </c>
      <c r="G80" s="27" t="n">
        <v>64.5161290322581</v>
      </c>
      <c r="H80" s="27" t="n">
        <v>-35.1671290322581</v>
      </c>
      <c r="I80" s="28" t="s">
        <v>26</v>
      </c>
      <c r="J80" s="27" t="n">
        <v>950.705</v>
      </c>
      <c r="K80" s="27" t="n">
        <v>1096.77419354838</v>
      </c>
      <c r="L80" s="29" t="n">
        <v>2</v>
      </c>
      <c r="M80" s="29" t="n">
        <v>2</v>
      </c>
      <c r="N80" s="29" t="n">
        <v>0</v>
      </c>
      <c r="O80" s="29" t="n">
        <v>0</v>
      </c>
      <c r="P80" s="30" t="n">
        <v>1</v>
      </c>
      <c r="Q80" s="29" t="n">
        <v>1</v>
      </c>
      <c r="R80" s="30" t="n">
        <f aca="false">SUM(P64:P80)/17</f>
        <v>0.890126050420168</v>
      </c>
      <c r="S80" s="29" t="n">
        <f aca="false">SUM(Q64:Q80)/17</f>
        <v>0.890126050420168</v>
      </c>
      <c r="T80" s="29" t="n">
        <f aca="false">$X$65+$X$66*C80</f>
        <v>76.4666941699605</v>
      </c>
      <c r="U80" s="29" t="n">
        <f aca="false">T80*VLOOKUP(D80,$W$70:$Y$76,3,0)</f>
        <v>50.296977905436</v>
      </c>
      <c r="Z80" s="32"/>
    </row>
    <row r="81" s="29" customFormat="true" ht="12.8" hidden="false" customHeight="false" outlineLevel="0" collapsed="false">
      <c r="A81" s="25" t="s">
        <v>40</v>
      </c>
      <c r="B81" s="26" t="n">
        <v>40926</v>
      </c>
      <c r="C81" s="25" t="n">
        <v>18</v>
      </c>
      <c r="D81" s="26" t="s">
        <v>30</v>
      </c>
      <c r="E81" s="26" t="s">
        <v>25</v>
      </c>
      <c r="F81" s="27" t="n">
        <v>78.264</v>
      </c>
      <c r="G81" s="27" t="n">
        <v>64.5161290322581</v>
      </c>
      <c r="H81" s="27" t="n">
        <v>13.7478709677419</v>
      </c>
      <c r="I81" s="28" t="s">
        <v>23</v>
      </c>
      <c r="J81" s="27" t="n">
        <v>1028.969</v>
      </c>
      <c r="K81" s="27" t="n">
        <v>1161.29032258064</v>
      </c>
      <c r="L81" s="29" t="n">
        <v>3</v>
      </c>
      <c r="M81" s="29" t="n">
        <v>3</v>
      </c>
      <c r="N81" s="29" t="n">
        <v>0</v>
      </c>
      <c r="O81" s="29" t="n">
        <v>0</v>
      </c>
      <c r="P81" s="30" t="n">
        <v>1</v>
      </c>
      <c r="Q81" s="29" t="n">
        <v>1</v>
      </c>
      <c r="R81" s="30" t="n">
        <f aca="false">SUM(P64:P81)/18</f>
        <v>0.896230158730158</v>
      </c>
      <c r="S81" s="29" t="n">
        <f aca="false">SUM(Q64:Q81)/18</f>
        <v>0.896230158730158</v>
      </c>
      <c r="T81" s="29" t="n">
        <f aca="false">$X$65+$X$66*C81</f>
        <v>77.8784416996048</v>
      </c>
      <c r="U81" s="29" t="n">
        <f aca="false">T81*VLOOKUP(D81,$W$70:$Y$76,3,0)</f>
        <v>65.8614516255299</v>
      </c>
      <c r="Z81" s="32"/>
    </row>
    <row r="82" s="29" customFormat="true" ht="12.8" hidden="false" customHeight="false" outlineLevel="0" collapsed="false">
      <c r="A82" s="25" t="s">
        <v>40</v>
      </c>
      <c r="B82" s="26" t="n">
        <v>40927</v>
      </c>
      <c r="C82" s="25" t="n">
        <v>19</v>
      </c>
      <c r="D82" s="26" t="s">
        <v>32</v>
      </c>
      <c r="E82" s="26" t="s">
        <v>25</v>
      </c>
      <c r="F82" s="27" t="n">
        <v>88.047</v>
      </c>
      <c r="G82" s="27" t="n">
        <v>64.5161290322581</v>
      </c>
      <c r="H82" s="27" t="n">
        <v>23.5308709677419</v>
      </c>
      <c r="I82" s="28" t="s">
        <v>23</v>
      </c>
      <c r="J82" s="27" t="n">
        <v>1117.016</v>
      </c>
      <c r="K82" s="27" t="n">
        <v>1225.8064516129</v>
      </c>
      <c r="L82" s="29" t="n">
        <v>6</v>
      </c>
      <c r="M82" s="29" t="n">
        <v>5</v>
      </c>
      <c r="N82" s="29" t="n">
        <v>1</v>
      </c>
      <c r="O82" s="29" t="n">
        <v>1</v>
      </c>
      <c r="P82" s="30" t="n">
        <v>0.833333333333333</v>
      </c>
      <c r="Q82" s="29" t="n">
        <v>0.833333333333333</v>
      </c>
      <c r="R82" s="30" t="n">
        <f aca="false">SUM(P64:P82)/19</f>
        <v>0.892919799498747</v>
      </c>
      <c r="S82" s="29" t="n">
        <f aca="false">SUM(Q64:Q82)/19</f>
        <v>0.892919799498747</v>
      </c>
      <c r="T82" s="29" t="n">
        <f aca="false">$X$65+$X$66*C82</f>
        <v>79.290189229249</v>
      </c>
      <c r="U82" s="29" t="n">
        <f aca="false">T82*VLOOKUP(D82,$W$70:$Y$76,3,0)</f>
        <v>72.6433069156003</v>
      </c>
      <c r="Z82" s="32"/>
    </row>
    <row r="83" s="29" customFormat="true" ht="12.8" hidden="false" customHeight="false" outlineLevel="0" collapsed="false">
      <c r="A83" s="25" t="s">
        <v>40</v>
      </c>
      <c r="B83" s="26" t="n">
        <v>40928</v>
      </c>
      <c r="C83" s="25" t="n">
        <v>20</v>
      </c>
      <c r="D83" s="26" t="s">
        <v>33</v>
      </c>
      <c r="E83" s="26" t="s">
        <v>25</v>
      </c>
      <c r="F83" s="27" t="n">
        <v>146.745</v>
      </c>
      <c r="G83" s="27" t="n">
        <v>64.5161290322581</v>
      </c>
      <c r="H83" s="27" t="n">
        <v>82.2288709677419</v>
      </c>
      <c r="I83" s="28" t="s">
        <v>23</v>
      </c>
      <c r="J83" s="27" t="n">
        <v>1263.761</v>
      </c>
      <c r="K83" s="27" t="n">
        <v>1290.32258064516</v>
      </c>
      <c r="L83" s="29" t="n">
        <v>2</v>
      </c>
      <c r="M83" s="29" t="n">
        <v>4</v>
      </c>
      <c r="N83" s="29" t="n">
        <v>-2</v>
      </c>
      <c r="O83" s="29" t="n">
        <v>0</v>
      </c>
      <c r="P83" s="30" t="n">
        <v>2</v>
      </c>
      <c r="Q83" s="29" t="n">
        <v>2</v>
      </c>
      <c r="R83" s="30" t="n">
        <f aca="false">SUM(P64:P83)/20</f>
        <v>0.94827380952381</v>
      </c>
      <c r="S83" s="29" t="n">
        <f aca="false">SUM(Q64:Q83)/20</f>
        <v>0.94827380952381</v>
      </c>
      <c r="T83" s="29" t="n">
        <f aca="false">$X$65+$X$66*C83</f>
        <v>80.7019367588933</v>
      </c>
      <c r="U83" s="29" t="n">
        <f aca="false">T83*VLOOKUP(D83,$W$70:$Y$76,3,0)</f>
        <v>132.706911621744</v>
      </c>
      <c r="Z83" s="32"/>
    </row>
    <row r="84" s="29" customFormat="true" ht="12.8" hidden="false" customHeight="false" outlineLevel="0" collapsed="false">
      <c r="A84" s="25" t="s">
        <v>40</v>
      </c>
      <c r="B84" s="26" t="n">
        <v>40929</v>
      </c>
      <c r="C84" s="25" t="n">
        <v>21</v>
      </c>
      <c r="D84" s="26" t="s">
        <v>36</v>
      </c>
      <c r="E84" s="26" t="s">
        <v>22</v>
      </c>
      <c r="F84" s="27" t="n">
        <v>195.66</v>
      </c>
      <c r="G84" s="27" t="n">
        <v>64.5161290322581</v>
      </c>
      <c r="H84" s="27" t="n">
        <v>131.143870967742</v>
      </c>
      <c r="I84" s="28" t="s">
        <v>23</v>
      </c>
      <c r="J84" s="27" t="n">
        <v>1459.421</v>
      </c>
      <c r="K84" s="27" t="n">
        <v>1354.83870967742</v>
      </c>
      <c r="L84" s="29" t="n">
        <v>2</v>
      </c>
      <c r="M84" s="29" t="n">
        <v>1</v>
      </c>
      <c r="N84" s="29" t="n">
        <v>1</v>
      </c>
      <c r="O84" s="29" t="n">
        <v>1</v>
      </c>
      <c r="P84" s="30" t="n">
        <v>0.5</v>
      </c>
      <c r="Q84" s="29" t="n">
        <v>0.5</v>
      </c>
      <c r="R84" s="30" t="n">
        <f aca="false">SUM(P64:P84)/21</f>
        <v>0.926927437641723</v>
      </c>
      <c r="S84" s="29" t="n">
        <f aca="false">SUM(Q64:Q84)/21</f>
        <v>0.926927437641723</v>
      </c>
      <c r="T84" s="29" t="n">
        <f aca="false">$X$65+$X$66*C84</f>
        <v>82.1136842885376</v>
      </c>
      <c r="U84" s="29" t="n">
        <f aca="false">T84*VLOOKUP(D84,$W$70:$Y$76,3,0)</f>
        <v>169.74998929361</v>
      </c>
      <c r="Z84" s="32"/>
    </row>
    <row r="85" s="29" customFormat="true" ht="12.8" hidden="false" customHeight="false" outlineLevel="0" collapsed="false">
      <c r="A85" s="25" t="s">
        <v>40</v>
      </c>
      <c r="B85" s="26" t="n">
        <v>40930</v>
      </c>
      <c r="C85" s="25" t="n">
        <v>22</v>
      </c>
      <c r="D85" s="26" t="s">
        <v>21</v>
      </c>
      <c r="E85" s="26" t="s">
        <v>22</v>
      </c>
      <c r="F85" s="27" t="n">
        <v>48.915</v>
      </c>
      <c r="G85" s="27" t="n">
        <v>64.5161290322581</v>
      </c>
      <c r="H85" s="27" t="n">
        <v>-15.6011290322581</v>
      </c>
      <c r="I85" s="28" t="s">
        <v>26</v>
      </c>
      <c r="J85" s="27" t="n">
        <v>1508.336</v>
      </c>
      <c r="K85" s="27" t="n">
        <v>1419.35483870967</v>
      </c>
      <c r="L85" s="29" t="n">
        <v>8</v>
      </c>
      <c r="M85" s="29" t="n">
        <v>7</v>
      </c>
      <c r="N85" s="29" t="n">
        <v>1</v>
      </c>
      <c r="O85" s="29" t="n">
        <v>1</v>
      </c>
      <c r="P85" s="30" t="n">
        <v>0.875</v>
      </c>
      <c r="Q85" s="29" t="n">
        <v>0.875</v>
      </c>
      <c r="R85" s="30" t="n">
        <f aca="false">SUM(P64:P85)/22</f>
        <v>0.9245670995671</v>
      </c>
      <c r="S85" s="29" t="n">
        <f aca="false">SUM(Q64:Q85)/22</f>
        <v>0.9245670995671</v>
      </c>
      <c r="T85" s="29" t="n">
        <f aca="false">$X$65+$X$66*C85</f>
        <v>83.5254318181818</v>
      </c>
      <c r="U85" s="29" t="n">
        <f aca="false">T85*VLOOKUP(D85,$W$70:$Y$76,3,0)</f>
        <v>47.6190809439285</v>
      </c>
      <c r="Z85" s="32"/>
    </row>
    <row r="86" s="29" customFormat="true" ht="12.8" hidden="false" customHeight="false" outlineLevel="0" collapsed="false">
      <c r="A86" s="25" t="s">
        <v>40</v>
      </c>
      <c r="B86" s="26" t="n">
        <v>40931</v>
      </c>
      <c r="C86" s="25" t="n">
        <v>23</v>
      </c>
      <c r="D86" s="26" t="s">
        <v>24</v>
      </c>
      <c r="E86" s="26" t="s">
        <v>25</v>
      </c>
      <c r="F86" s="27" t="n">
        <v>88.047</v>
      </c>
      <c r="G86" s="27" t="n">
        <v>64.5161290322581</v>
      </c>
      <c r="H86" s="27" t="n">
        <v>23.5308709677419</v>
      </c>
      <c r="I86" s="28" t="s">
        <v>23</v>
      </c>
      <c r="J86" s="27" t="n">
        <v>1596.383</v>
      </c>
      <c r="K86" s="27" t="n">
        <v>1483.87096774193</v>
      </c>
      <c r="L86" s="29" t="n">
        <v>1</v>
      </c>
      <c r="M86" s="29" t="n">
        <v>2</v>
      </c>
      <c r="N86" s="29" t="n">
        <v>-1</v>
      </c>
      <c r="O86" s="29" t="n">
        <v>0</v>
      </c>
      <c r="P86" s="30" t="n">
        <v>2</v>
      </c>
      <c r="Q86" s="29" t="n">
        <v>2</v>
      </c>
      <c r="R86" s="30" t="n">
        <f aca="false">SUM(P64:P86)/23</f>
        <v>0.971325051759834</v>
      </c>
      <c r="S86" s="29" t="n">
        <f aca="false">SUM(Q64:Q86)/23</f>
        <v>0.971325051759834</v>
      </c>
      <c r="T86" s="29" t="n">
        <f aca="false">$X$65+$X$66*C86</f>
        <v>84.9371793478261</v>
      </c>
      <c r="U86" s="29" t="n">
        <f aca="false">T86*VLOOKUP(D86,$W$70:$Y$76,3,0)</f>
        <v>49.3838088196783</v>
      </c>
      <c r="Z86" s="32"/>
    </row>
    <row r="87" s="29" customFormat="true" ht="12.8" hidden="false" customHeight="false" outlineLevel="0" collapsed="false">
      <c r="A87" s="25" t="s">
        <v>40</v>
      </c>
      <c r="B87" s="26" t="n">
        <v>40932</v>
      </c>
      <c r="C87" s="25" t="n">
        <v>24</v>
      </c>
      <c r="D87" s="26" t="s">
        <v>28</v>
      </c>
      <c r="E87" s="26" t="s">
        <v>25</v>
      </c>
      <c r="F87" s="27"/>
      <c r="G87" s="27" t="n">
        <v>64.5161290322581</v>
      </c>
      <c r="H87" s="27"/>
      <c r="I87" s="28"/>
      <c r="J87" s="27"/>
      <c r="K87" s="27" t="n">
        <v>1548.38709677419</v>
      </c>
      <c r="P87" s="30"/>
      <c r="R87" s="30"/>
      <c r="T87" s="29" t="n">
        <f aca="false">$X$65+$X$66*C87</f>
        <v>86.3489268774704</v>
      </c>
      <c r="U87" s="29" t="n">
        <f aca="false">T87*VLOOKUP(D87,$W$70:$Y$76,3,0)</f>
        <v>56.7971469730464</v>
      </c>
      <c r="Z87" s="32"/>
    </row>
    <row r="88" s="29" customFormat="true" ht="12.8" hidden="false" customHeight="false" outlineLevel="0" collapsed="false">
      <c r="A88" s="25" t="s">
        <v>40</v>
      </c>
      <c r="B88" s="26" t="n">
        <v>40933</v>
      </c>
      <c r="C88" s="25" t="n">
        <v>25</v>
      </c>
      <c r="D88" s="26" t="s">
        <v>30</v>
      </c>
      <c r="E88" s="26" t="s">
        <v>25</v>
      </c>
      <c r="F88" s="27"/>
      <c r="G88" s="27" t="n">
        <v>64.5161290322581</v>
      </c>
      <c r="H88" s="27"/>
      <c r="I88" s="28"/>
      <c r="J88" s="27"/>
      <c r="K88" s="27" t="n">
        <v>1612.90322580645</v>
      </c>
      <c r="P88" s="30"/>
      <c r="R88" s="30"/>
      <c r="T88" s="29" t="n">
        <f aca="false">$X$65+$X$66*C88</f>
        <v>87.7606744071146</v>
      </c>
      <c r="U88" s="29" t="n">
        <f aca="false">T88*VLOOKUP(D88,$W$70:$Y$76,3,0)</f>
        <v>74.2188118553147</v>
      </c>
      <c r="Z88" s="32"/>
    </row>
    <row r="89" s="29" customFormat="true" ht="12.8" hidden="false" customHeight="false" outlineLevel="0" collapsed="false">
      <c r="A89" s="25" t="s">
        <v>40</v>
      </c>
      <c r="B89" s="26" t="n">
        <v>40934</v>
      </c>
      <c r="C89" s="25" t="n">
        <v>26</v>
      </c>
      <c r="D89" s="26" t="s">
        <v>32</v>
      </c>
      <c r="E89" s="26" t="s">
        <v>25</v>
      </c>
      <c r="F89" s="27"/>
      <c r="G89" s="27" t="n">
        <v>64.5161290322581</v>
      </c>
      <c r="H89" s="27"/>
      <c r="I89" s="28"/>
      <c r="J89" s="27"/>
      <c r="K89" s="27" t="n">
        <v>1677.41935483871</v>
      </c>
      <c r="P89" s="30"/>
      <c r="R89" s="30"/>
      <c r="T89" s="29" t="n">
        <f aca="false">$X$65+$X$66*C89</f>
        <v>89.1724219367589</v>
      </c>
      <c r="U89" s="29" t="n">
        <f aca="false">T89*VLOOKUP(D89,$W$70:$Y$76,3,0)</f>
        <v>81.6971138312004</v>
      </c>
      <c r="Z89" s="32"/>
    </row>
    <row r="90" s="29" customFormat="true" ht="12.8" hidden="false" customHeight="false" outlineLevel="0" collapsed="false">
      <c r="A90" s="25" t="s">
        <v>40</v>
      </c>
      <c r="B90" s="26" t="n">
        <v>40935</v>
      </c>
      <c r="C90" s="25" t="n">
        <v>27</v>
      </c>
      <c r="D90" s="26" t="s">
        <v>33</v>
      </c>
      <c r="E90" s="26" t="s">
        <v>25</v>
      </c>
      <c r="F90" s="27"/>
      <c r="G90" s="27" t="n">
        <v>64.5161290322581</v>
      </c>
      <c r="H90" s="27"/>
      <c r="I90" s="28"/>
      <c r="J90" s="27"/>
      <c r="K90" s="27" t="n">
        <v>1741.93548387096</v>
      </c>
      <c r="P90" s="30"/>
      <c r="R90" s="30"/>
      <c r="T90" s="29" t="n">
        <f aca="false">$X$65+$X$66*C90</f>
        <v>90.5841694664032</v>
      </c>
      <c r="U90" s="29" t="n">
        <f aca="false">T90*VLOOKUP(D90,$W$70:$Y$76,3,0)</f>
        <v>148.95733429077</v>
      </c>
      <c r="Z90" s="32"/>
    </row>
    <row r="91" s="29" customFormat="true" ht="12.8" hidden="false" customHeight="false" outlineLevel="0" collapsed="false">
      <c r="A91" s="25" t="s">
        <v>40</v>
      </c>
      <c r="B91" s="26" t="n">
        <v>40936</v>
      </c>
      <c r="C91" s="25" t="n">
        <v>28</v>
      </c>
      <c r="D91" s="26" t="s">
        <v>36</v>
      </c>
      <c r="E91" s="26" t="s">
        <v>22</v>
      </c>
      <c r="F91" s="27"/>
      <c r="G91" s="27" t="n">
        <v>64.5161290322581</v>
      </c>
      <c r="H91" s="27"/>
      <c r="I91" s="28"/>
      <c r="J91" s="27"/>
      <c r="K91" s="27" t="n">
        <v>1806.45161290322</v>
      </c>
      <c r="P91" s="30"/>
      <c r="R91" s="30"/>
      <c r="T91" s="29" t="n">
        <f aca="false">$X$65+$X$66*C91</f>
        <v>91.9959169960474</v>
      </c>
      <c r="U91" s="29" t="n">
        <f aca="false">T91*VLOOKUP(D91,$W$70:$Y$76,3,0)</f>
        <v>190.179092077528</v>
      </c>
      <c r="Z91" s="32"/>
    </row>
    <row r="92" s="29" customFormat="true" ht="12.8" hidden="false" customHeight="false" outlineLevel="0" collapsed="false">
      <c r="A92" s="25" t="s">
        <v>40</v>
      </c>
      <c r="B92" s="26" t="n">
        <v>40937</v>
      </c>
      <c r="C92" s="25" t="n">
        <v>29</v>
      </c>
      <c r="D92" s="26" t="s">
        <v>21</v>
      </c>
      <c r="E92" s="26" t="s">
        <v>22</v>
      </c>
      <c r="F92" s="27"/>
      <c r="G92" s="27" t="n">
        <v>64.5161290322581</v>
      </c>
      <c r="H92" s="27"/>
      <c r="I92" s="28"/>
      <c r="J92" s="27"/>
      <c r="K92" s="27" t="n">
        <v>1870.96774193548</v>
      </c>
      <c r="P92" s="30"/>
      <c r="R92" s="30"/>
      <c r="T92" s="29" t="n">
        <f aca="false">$X$65+$X$66*C92</f>
        <v>93.4076645256917</v>
      </c>
      <c r="U92" s="29" t="n">
        <f aca="false">T92*VLOOKUP(D92,$W$70:$Y$76,3,0)</f>
        <v>53.2530876046784</v>
      </c>
      <c r="Z92" s="32"/>
    </row>
    <row r="93" s="29" customFormat="true" ht="12.8" hidden="false" customHeight="false" outlineLevel="0" collapsed="false">
      <c r="A93" s="25" t="s">
        <v>40</v>
      </c>
      <c r="B93" s="26" t="n">
        <v>40938</v>
      </c>
      <c r="C93" s="25" t="n">
        <v>30</v>
      </c>
      <c r="D93" s="26" t="s">
        <v>24</v>
      </c>
      <c r="E93" s="26" t="s">
        <v>25</v>
      </c>
      <c r="F93" s="27"/>
      <c r="G93" s="27" t="n">
        <v>64.5161290322581</v>
      </c>
      <c r="H93" s="27"/>
      <c r="I93" s="28"/>
      <c r="J93" s="27"/>
      <c r="K93" s="27" t="n">
        <v>1935.48387096774</v>
      </c>
      <c r="P93" s="30"/>
      <c r="R93" s="30"/>
      <c r="T93" s="29" t="n">
        <f aca="false">$X$65+$X$66*C93</f>
        <v>94.819412055336</v>
      </c>
      <c r="U93" s="29" t="n">
        <f aca="false">T93*VLOOKUP(D93,$W$70:$Y$76,3,0)</f>
        <v>55.1294939776553</v>
      </c>
      <c r="Z93" s="32"/>
    </row>
    <row r="94" s="29" customFormat="true" ht="12.8" hidden="false" customHeight="false" outlineLevel="0" collapsed="false">
      <c r="A94" s="25" t="s">
        <v>40</v>
      </c>
      <c r="B94" s="26" t="n">
        <v>40939</v>
      </c>
      <c r="C94" s="25" t="n">
        <v>31</v>
      </c>
      <c r="D94" s="26" t="s">
        <v>28</v>
      </c>
      <c r="E94" s="26" t="s">
        <v>25</v>
      </c>
      <c r="F94" s="27"/>
      <c r="G94" s="27" t="n">
        <v>64.5161290322581</v>
      </c>
      <c r="H94" s="27"/>
      <c r="I94" s="28"/>
      <c r="J94" s="27"/>
      <c r="K94" s="27" t="n">
        <v>1999.99999999999</v>
      </c>
      <c r="P94" s="30"/>
      <c r="R94" s="30"/>
      <c r="T94" s="29" t="n">
        <f aca="false">$X$65+$X$66*C94</f>
        <v>96.2311595849803</v>
      </c>
      <c r="U94" s="29" t="n">
        <f aca="false">T94*VLOOKUP(D94,$W$70:$Y$76,3,0)</f>
        <v>63.2973160406568</v>
      </c>
      <c r="Z94" s="32"/>
    </row>
    <row r="95" s="29" customFormat="true" ht="12.8" hidden="false" customHeight="false" outlineLevel="0" collapsed="false">
      <c r="A95" s="1"/>
      <c r="B95" s="0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0"/>
      <c r="Z95" s="0"/>
    </row>
  </sheetData>
  <mergeCells count="3">
    <mergeCell ref="W7:X7"/>
    <mergeCell ref="W38:X38"/>
    <mergeCell ref="W69:X6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1521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2022-11-14T18:57:42Z</dcterms:created>
  <dc:creator/>
  <dc:description/>
  <dc:language>pt-BR</dc:language>
  <cp:lastModifiedBy/>
  <dcterms:modified xsi:type="dcterms:W3CDTF">2022-11-18T01:47:50Z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