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56" yWindow="1116" windowWidth="9672" windowHeight="8832" activeTab="4"/>
  </bookViews>
  <sheets>
    <sheet name="Проект штатного розпису на 2019" sheetId="19" r:id="rId1"/>
    <sheet name="КЕКВ 2210 матеріали" sheetId="20" r:id="rId2"/>
    <sheet name="КЕКВ 2250 Відрядження" sheetId="21" r:id="rId3"/>
    <sheet name="КЕКВ 3110 Обладнання" sheetId="22" r:id="rId4"/>
    <sheet name="Лист1" sheetId="27" r:id="rId5"/>
  </sheets>
  <definedNames>
    <definedName name="_xlnm.Print_Area" localSheetId="0">'Проект штатного розпису на 2019'!$A$1:$Q$32</definedName>
  </definedNames>
  <calcPr calcId="145621" refMode="R1C1"/>
</workbook>
</file>

<file path=xl/calcChain.xml><?xml version="1.0" encoding="utf-8"?>
<calcChain xmlns="http://schemas.openxmlformats.org/spreadsheetml/2006/main">
  <c r="D6" i="27" l="1"/>
  <c r="I6" i="27"/>
  <c r="H6" i="27"/>
  <c r="C6" i="27"/>
  <c r="C7" i="27"/>
  <c r="B6" i="27"/>
  <c r="J7" i="27" l="1"/>
  <c r="D7" i="27"/>
  <c r="H31" i="20"/>
  <c r="J6" i="27"/>
  <c r="G6" i="27"/>
  <c r="E8" i="27" l="1"/>
  <c r="E9" i="27"/>
  <c r="E11" i="27"/>
  <c r="E6" i="27"/>
  <c r="H15" i="20" l="1"/>
  <c r="H11" i="27" s="1"/>
  <c r="H16" i="20"/>
  <c r="H17" i="20"/>
  <c r="H18" i="20"/>
  <c r="J9" i="27"/>
  <c r="I9" i="27"/>
  <c r="H9" i="27"/>
  <c r="H21" i="20"/>
  <c r="H22" i="20"/>
  <c r="H23" i="20"/>
  <c r="H25" i="20"/>
  <c r="H26" i="20"/>
  <c r="H27" i="20"/>
  <c r="H29" i="20"/>
  <c r="G7" i="27" l="1"/>
  <c r="F16" i="22"/>
  <c r="F17" i="22"/>
  <c r="F12" i="22"/>
  <c r="F18" i="22" l="1"/>
  <c r="G8" i="27" s="1"/>
  <c r="K7" i="27"/>
  <c r="K8" i="27"/>
  <c r="K9" i="27"/>
  <c r="F9" i="27"/>
  <c r="L9" i="27" s="1"/>
  <c r="F11" i="27"/>
  <c r="H30" i="20" l="1"/>
  <c r="F13" i="22"/>
  <c r="F11" i="22"/>
  <c r="I15" i="21"/>
  <c r="H35" i="20"/>
  <c r="H37" i="20" s="1"/>
  <c r="H32" i="20"/>
  <c r="H14" i="20"/>
  <c r="J11" i="27" s="1"/>
  <c r="H13" i="20"/>
  <c r="I11" i="27" s="1"/>
  <c r="C26" i="19"/>
  <c r="I25" i="19"/>
  <c r="K25" i="19" s="1"/>
  <c r="I24" i="19"/>
  <c r="K24" i="19" s="1"/>
  <c r="I23" i="19"/>
  <c r="M23" i="19" s="1"/>
  <c r="I22" i="19"/>
  <c r="I21" i="19"/>
  <c r="I20" i="19"/>
  <c r="I19" i="19"/>
  <c r="M19" i="19" s="1"/>
  <c r="I18" i="19"/>
  <c r="M21" i="19" l="1"/>
  <c r="K21" i="19"/>
  <c r="M20" i="19"/>
  <c r="K20" i="19"/>
  <c r="E7" i="27"/>
  <c r="K11" i="27"/>
  <c r="L11" i="27" s="1"/>
  <c r="H19" i="20"/>
  <c r="M22" i="19"/>
  <c r="K22" i="19"/>
  <c r="F14" i="22"/>
  <c r="P21" i="19"/>
  <c r="P19" i="19"/>
  <c r="H10" i="27"/>
  <c r="H12" i="27" s="1"/>
  <c r="I10" i="27"/>
  <c r="I12" i="27" s="1"/>
  <c r="P20" i="19"/>
  <c r="B10" i="27"/>
  <c r="J10" i="27"/>
  <c r="J12" i="27" s="1"/>
  <c r="G10" i="27"/>
  <c r="H33" i="20"/>
  <c r="M25" i="19"/>
  <c r="K23" i="19"/>
  <c r="M24" i="19"/>
  <c r="M26" i="19" s="1"/>
  <c r="P28" i="19" s="1"/>
  <c r="K19" i="19"/>
  <c r="I26" i="19"/>
  <c r="P22" i="19" s="1"/>
  <c r="F7" i="27" l="1"/>
  <c r="L7" i="27" s="1"/>
  <c r="C8" i="27"/>
  <c r="F8" i="27" s="1"/>
  <c r="L8" i="27" s="1"/>
  <c r="F19" i="22"/>
  <c r="D10" i="27"/>
  <c r="D12" i="27" s="1"/>
  <c r="H38" i="20"/>
  <c r="K6" i="27"/>
  <c r="G12" i="27"/>
  <c r="K10" i="27"/>
  <c r="B12" i="27"/>
  <c r="F6" i="27"/>
  <c r="K26" i="19"/>
  <c r="P27" i="19" s="1"/>
  <c r="C10" i="27" l="1"/>
  <c r="L6" i="27"/>
  <c r="G15" i="27"/>
  <c r="K12" i="27"/>
  <c r="C12" i="27" l="1"/>
  <c r="F12" i="27" s="1"/>
  <c r="L12" i="27" s="1"/>
  <c r="E10" i="27"/>
  <c r="F10" i="27"/>
  <c r="L10" i="27" s="1"/>
  <c r="B13" i="27" l="1"/>
  <c r="B15" i="27" s="1"/>
  <c r="E12" i="27"/>
</calcChain>
</file>

<file path=xl/sharedStrings.xml><?xml version="1.0" encoding="utf-8"?>
<sst xmlns="http://schemas.openxmlformats.org/spreadsheetml/2006/main" count="200" uniqueCount="140">
  <si>
    <t>Київський національний університет імені Тараса Шевченка</t>
  </si>
  <si>
    <t>Оплата  праці по схемі посадових окладів та Указу Президента</t>
  </si>
  <si>
    <t>Кількість штатних посад</t>
  </si>
  <si>
    <t>Посадовий оклад</t>
  </si>
  <si>
    <t>РАЗОМ:</t>
  </si>
  <si>
    <t>ФЗП на місяць</t>
  </si>
  <si>
    <t>№ з/п</t>
  </si>
  <si>
    <t>Назва структурного підрозділу та посад</t>
  </si>
  <si>
    <t>ФЗП на рік</t>
  </si>
  <si>
    <t>науковий ступінь</t>
  </si>
  <si>
    <t>вчене звання</t>
  </si>
  <si>
    <t>Надбавки, %</t>
  </si>
  <si>
    <t>Доплати, %</t>
  </si>
  <si>
    <t>інші</t>
  </si>
  <si>
    <t>Головний науковий співробітник</t>
  </si>
  <si>
    <t xml:space="preserve">ПРОЕКТ ШТАТНОГО РОЗПИСУ </t>
  </si>
  <si>
    <t>ПІБ</t>
  </si>
  <si>
    <t xml:space="preserve">тема  № _______________________ </t>
  </si>
  <si>
    <t xml:space="preserve"> РОЗРАХУНОК КОШТОРИСНОЇ ВАРТОСТІ</t>
  </si>
  <si>
    <t>КЕКВ 2210 Предмети, матеріали, обладнання та інвентар</t>
  </si>
  <si>
    <t>№       п/п</t>
  </si>
  <si>
    <t>Найменування</t>
  </si>
  <si>
    <t>Одиниця обрахунку</t>
  </si>
  <si>
    <t>Кількість</t>
  </si>
  <si>
    <t>Ціна одиниці,     грн</t>
  </si>
  <si>
    <t>Вартість , грн.</t>
  </si>
  <si>
    <t>Разом</t>
  </si>
  <si>
    <t>Комплектуючі до обладнання та витратні матеріали</t>
  </si>
  <si>
    <t>ВСЬОГО:</t>
  </si>
  <si>
    <t xml:space="preserve">                                                           </t>
  </si>
  <si>
    <t xml:space="preserve">Додаток 2 </t>
  </si>
  <si>
    <t>Науковий керівник теми № ___________</t>
  </si>
  <si>
    <t>тема № ______________________________</t>
  </si>
  <si>
    <t>Місто</t>
  </si>
  <si>
    <t>Мета</t>
  </si>
  <si>
    <t>Кількість працівників у відрядженні</t>
  </si>
  <si>
    <t>Тривалість відрядження 1 працівника (днів)</t>
  </si>
  <si>
    <t>Тривалість відряд.всіх прац-ків (днів)</t>
  </si>
  <si>
    <t>Вартість   (грн.)</t>
  </si>
  <si>
    <t>Всього:</t>
  </si>
  <si>
    <t xml:space="preserve">КЕКВ 2250 Видатки на відрядження </t>
  </si>
  <si>
    <t>Додаток 3</t>
  </si>
  <si>
    <t>тема № ________________________</t>
  </si>
  <si>
    <t>КЕКВ 3110 Придбання обладнання і предметів довгострокового  користування</t>
  </si>
  <si>
    <t>Обгрунтування та очікувані результати</t>
  </si>
  <si>
    <t>Провідний науковий співробітник</t>
  </si>
  <si>
    <t>Науковий співробітник</t>
  </si>
  <si>
    <t>"Затверджую"</t>
  </si>
  <si>
    <t>Проректор з наукової роботи_________ В.С. Мартинюк</t>
  </si>
  <si>
    <t>шт.</t>
  </si>
  <si>
    <t>______________М.В.Макарець</t>
  </si>
  <si>
    <t>Декан фізичного  факультету</t>
  </si>
  <si>
    <r>
      <t>факультет __</t>
    </r>
    <r>
      <rPr>
        <u/>
        <sz val="14"/>
        <rFont val="Times New Roman"/>
        <family val="1"/>
        <charset val="204"/>
      </rPr>
      <t>фізичний_</t>
    </r>
    <r>
      <rPr>
        <sz val="14"/>
        <rFont val="Times New Roman"/>
        <family val="1"/>
      </rPr>
      <t>___________</t>
    </r>
  </si>
  <si>
    <t>______________М.В. Макарець</t>
  </si>
  <si>
    <r>
      <t>факультет __</t>
    </r>
    <r>
      <rPr>
        <u/>
        <sz val="14"/>
        <rFont val="Times New Roman"/>
        <family val="1"/>
        <charset val="204"/>
      </rPr>
      <t>фізичний</t>
    </r>
    <r>
      <rPr>
        <sz val="14"/>
        <rFont val="Times New Roman"/>
        <family val="1"/>
      </rPr>
      <t>__________________</t>
    </r>
  </si>
  <si>
    <t>факультет _фізичний_____________</t>
  </si>
  <si>
    <t>Участь в роботі наукової конференції</t>
  </si>
  <si>
    <t>до  пропозицій щодо обсягів фінансування тем на 2019 рік</t>
  </si>
  <si>
    <t xml:space="preserve">                            Додаток 5</t>
  </si>
  <si>
    <t>Молодший  науковий співробітник</t>
  </si>
  <si>
    <t>Декан фізичного факультету</t>
  </si>
  <si>
    <t>М.В.Макарець</t>
  </si>
  <si>
    <t>на 2020 рік</t>
  </si>
  <si>
    <t>Канцелярські товари</t>
  </si>
  <si>
    <t>до  пропозицій щодо обсягів фінансування тем на 2020 рік</t>
  </si>
  <si>
    <t>науковий керівник Базилевич В.Д.</t>
  </si>
  <si>
    <t>шт</t>
  </si>
  <si>
    <t xml:space="preserve">Конкурс “Підтримка досліджень провідних та молодих учених” </t>
  </si>
  <si>
    <t>Проєкт "Розробка методів акусто-керованої модифікації та машинно-орієнтованої характеризації кремнієвих сонячних елементів"</t>
  </si>
  <si>
    <t>на 2020/21 рік</t>
  </si>
  <si>
    <t xml:space="preserve">складність роботи </t>
  </si>
  <si>
    <t>к-ть місяців</t>
  </si>
  <si>
    <t>Оліх, д. наук, доцент</t>
  </si>
  <si>
    <t>Інженер 1 категорії</t>
  </si>
  <si>
    <t>на 2021рік</t>
  </si>
  <si>
    <t>Науковий керівник проєкту</t>
  </si>
  <si>
    <t>______________О.Я.Оліх</t>
  </si>
  <si>
    <t>Для проведення розрахунків штучних нейронних мереж з використанням технології паралельного обчислення CUDA</t>
  </si>
  <si>
    <t>Інші витрати</t>
  </si>
  <si>
    <t>Папір офісний UPM-Kymmene A4 80 г/м NEW Future Laser білий</t>
  </si>
  <si>
    <t>Фотобарабан Minolta PP-1100/1250, Epson EPL-6200 HANP</t>
  </si>
  <si>
    <t>Картридж HP LJ 5L / 6L, C3906A</t>
  </si>
  <si>
    <t>1. Прямі витрати</t>
  </si>
  <si>
    <t>1.1. Витрати на оплату праці, включно з нарахуваннями</t>
  </si>
  <si>
    <t>1.2. Матеріали, необхідні для виконання робіт, крім спецустаткування</t>
  </si>
  <si>
    <t>1.3. Спецустаткування (обладнання)</t>
  </si>
  <si>
    <t>4. Інші витрати (за необхідності)</t>
  </si>
  <si>
    <r>
      <t xml:space="preserve">2. </t>
    </r>
    <r>
      <rPr>
        <b/>
        <sz val="11"/>
        <rFont val="Times New Roman"/>
        <family val="1"/>
        <charset val="204"/>
      </rPr>
      <t>Непрямі витрати</t>
    </r>
    <r>
      <rPr>
        <sz val="11"/>
        <rFont val="Times New Roman"/>
        <family val="1"/>
        <charset val="204"/>
      </rPr>
      <t xml:space="preserve">  (не більше 10% від загального обсягу витрат )</t>
    </r>
  </si>
  <si>
    <t>ЕВП1</t>
  </si>
  <si>
    <t>1.4. Витрати на службові відрядження</t>
  </si>
  <si>
    <t>3 кв</t>
  </si>
  <si>
    <t>4кв</t>
  </si>
  <si>
    <t>ЕВП2</t>
  </si>
  <si>
    <t>ЕВП3</t>
  </si>
  <si>
    <t>ЕВП4</t>
  </si>
  <si>
    <t>ЕВП5</t>
  </si>
  <si>
    <t>ЕВП6</t>
  </si>
  <si>
    <t>1кв</t>
  </si>
  <si>
    <t>2кв</t>
  </si>
  <si>
    <t>3кв</t>
  </si>
  <si>
    <t>Разом, грн</t>
  </si>
  <si>
    <t>Рік</t>
  </si>
  <si>
    <t>Рік 1</t>
  </si>
  <si>
    <t>Рік2</t>
  </si>
  <si>
    <t>Вимірювальна платформа Keithley 4200A-SCS</t>
  </si>
  <si>
    <t xml:space="preserve">Вимірювальний модуль Keithley 4200-SMU </t>
  </si>
  <si>
    <t>Для високоточного та швидкісного вимірювання вольт-амперних характеристик</t>
  </si>
  <si>
    <t xml:space="preserve">Адаптери Keithley 237-BNC-TRX Male BNC to 3-lug Female Triax </t>
  </si>
  <si>
    <t>Адаптери Keithley 237-TRX-BAR 3-lug Triax Barrel Adapter (female to female)</t>
  </si>
  <si>
    <t xml:space="preserve">Адаптери Keithley 237-TRX-T 3-slot Male to Dual 3-lug Female Triax Tee </t>
  </si>
  <si>
    <t>ВСЬОГО за 2020:</t>
  </si>
  <si>
    <t>на 2021 рік</t>
  </si>
  <si>
    <t>ВСЬОГО за 2021:</t>
  </si>
  <si>
    <t>ВСЬОГО по проєкту:</t>
  </si>
  <si>
    <t>Для високоточного та швидкісного вимірювання вольт-фарадних характеристик</t>
  </si>
  <si>
    <t>Вимірювальний модуль Keithley 4210-СVU</t>
  </si>
  <si>
    <t>Вимірювальний модуль Keithley 4200A-CVIV</t>
  </si>
  <si>
    <t>Адаптери Keithley 237-BNC-TRX Male BNC to 3-lug Female Triax</t>
  </si>
  <si>
    <t>Адаптери Keithley 237-TRX-T 3-slot Male to Dual 3-lug Female Triax Tee</t>
  </si>
  <si>
    <t xml:space="preserve">Вимірювальний кабель Keithley 4200-TRX-2 </t>
  </si>
  <si>
    <t>Костильов, д.наук, проф</t>
  </si>
  <si>
    <t>Власюк, канд. наук</t>
  </si>
  <si>
    <t>Лозицький, аспірант</t>
  </si>
  <si>
    <t xml:space="preserve">Інженер </t>
  </si>
  <si>
    <t>аспірант</t>
  </si>
  <si>
    <t>студент</t>
  </si>
  <si>
    <t>асистент, канд. наук</t>
  </si>
  <si>
    <t>Картридж C13S050167, Epson EPL-6203</t>
  </si>
  <si>
    <t>Ноутбук HP Pavilion Gaming 15</t>
  </si>
  <si>
    <t>Чікаго (ІІ кв)</t>
  </si>
  <si>
    <t>Берлін (ІІІ кв)</t>
  </si>
  <si>
    <t>Рим (ІV кв)</t>
  </si>
  <si>
    <t>Івано-Франківськ (ІІІ кв)</t>
  </si>
  <si>
    <t>Publication Charges(ІІІ)</t>
  </si>
  <si>
    <t>Article Processing Charges(IV)</t>
  </si>
  <si>
    <t>Організаційний внесок для участі у конференції(III)</t>
  </si>
  <si>
    <t>Організаційний внесок для участі у конференції(II)</t>
  </si>
  <si>
    <t>Організаційний внесок для участі у конференції(IV)</t>
  </si>
  <si>
    <t>4 кв разом</t>
  </si>
  <si>
    <t>USB флеш накопитель Transcend 64Gb JetFlash 810 USB3.0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</si>
</sst>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0"/>
      <name val="Arial Cyr"/>
      <charset val="204"/>
    </font>
    <font>
      <b/>
      <sz val="14"/>
      <name val="Times New Roman"/>
      <family val="1"/>
      <charset val="204"/>
    </font>
    <font>
      <sz val="14"/>
      <name val="Times New Roman"/>
      <family val="1"/>
      <charset val="204"/>
    </font>
    <font>
      <sz val="14"/>
      <color indexed="8"/>
      <name val="Times New Roman"/>
      <family val="1"/>
      <charset val="204"/>
    </font>
    <font>
      <b/>
      <sz val="14"/>
      <color indexed="10"/>
      <name val="Times New Roman"/>
      <family val="1"/>
      <charset val="204"/>
    </font>
    <font>
      <b/>
      <sz val="14"/>
      <color indexed="8"/>
      <name val="Times New Roman"/>
      <family val="1"/>
      <charset val="204"/>
    </font>
    <font>
      <sz val="10"/>
      <name val="Arial Cyr"/>
      <charset val="204"/>
    </font>
    <font>
      <sz val="14"/>
      <name val="Times New Roman"/>
      <family val="1"/>
    </font>
    <font>
      <b/>
      <sz val="14"/>
      <name val="Times New Roman"/>
      <family val="1"/>
    </font>
    <font>
      <sz val="8"/>
      <name val="Arial Cyr"/>
      <charset val="204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</font>
    <font>
      <u/>
      <sz val="14"/>
      <name val="Times New Roman"/>
      <family val="1"/>
      <charset val="204"/>
    </font>
    <font>
      <sz val="12"/>
      <name val="Times New Roman"/>
      <family val="1"/>
    </font>
    <font>
      <sz val="12"/>
      <name val="Arial Cyr"/>
      <charset val="204"/>
    </font>
    <font>
      <sz val="14"/>
      <color indexed="10"/>
      <name val="Times New Roman"/>
      <family val="1"/>
      <charset val="204"/>
    </font>
    <font>
      <sz val="14"/>
      <color rgb="FF333333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2" fillId="0" borderId="0"/>
    <xf numFmtId="0" fontId="10" fillId="0" borderId="0"/>
    <xf numFmtId="0" fontId="6" fillId="0" borderId="0"/>
  </cellStyleXfs>
  <cellXfs count="177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0" xfId="0" applyNumberFormat="1" applyFont="1" applyFill="1"/>
    <xf numFmtId="0" fontId="3" fillId="0" borderId="1" xfId="0" applyFont="1" applyFill="1" applyBorder="1" applyAlignment="1">
      <alignment horizontal="center" vertical="center" wrapText="1"/>
    </xf>
    <xf numFmtId="0" fontId="2" fillId="0" borderId="2" xfId="0" applyNumberFormat="1" applyFont="1" applyFill="1" applyBorder="1" applyAlignment="1">
      <alignment horizontal="center"/>
    </xf>
    <xf numFmtId="0" fontId="2" fillId="0" borderId="3" xfId="0" applyNumberFormat="1" applyFont="1" applyFill="1" applyBorder="1" applyAlignment="1">
      <alignment horizontal="center"/>
    </xf>
    <xf numFmtId="0" fontId="2" fillId="0" borderId="4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top" wrapText="1"/>
    </xf>
    <xf numFmtId="0" fontId="1" fillId="0" borderId="0" xfId="0" applyFont="1" applyFill="1" applyBorder="1" applyAlignment="1">
      <alignment horizontal="justify" vertical="top" wrapText="1"/>
    </xf>
    <xf numFmtId="2" fontId="4" fillId="0" borderId="0" xfId="0" applyNumberFormat="1" applyFont="1" applyFill="1" applyBorder="1" applyAlignment="1">
      <alignment horizontal="center" vertical="top" wrapText="1"/>
    </xf>
    <xf numFmtId="2" fontId="1" fillId="0" borderId="0" xfId="0" applyNumberFormat="1" applyFont="1" applyFill="1" applyBorder="1" applyAlignment="1">
      <alignment horizontal="right" vertical="top" wrapText="1"/>
    </xf>
    <xf numFmtId="0" fontId="0" fillId="0" borderId="0" xfId="0" applyFill="1" applyBorder="1" applyAlignment="1"/>
    <xf numFmtId="0" fontId="2" fillId="0" borderId="0" xfId="0" applyFont="1" applyFill="1" applyBorder="1"/>
    <xf numFmtId="0" fontId="2" fillId="0" borderId="5" xfId="0" applyNumberFormat="1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top" wrapText="1"/>
    </xf>
    <xf numFmtId="0" fontId="2" fillId="0" borderId="7" xfId="0" applyFont="1" applyFill="1" applyBorder="1"/>
    <xf numFmtId="0" fontId="7" fillId="0" borderId="0" xfId="0" applyFont="1" applyBorder="1" applyAlignment="1">
      <alignment horizontal="left"/>
    </xf>
    <xf numFmtId="0" fontId="2" fillId="0" borderId="7" xfId="0" applyFont="1" applyFill="1" applyBorder="1" applyAlignment="1">
      <alignment horizontal="center" vertical="top" wrapText="1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0" borderId="8" xfId="0" applyFont="1" applyBorder="1" applyAlignment="1">
      <alignment horizontal="left"/>
    </xf>
    <xf numFmtId="0" fontId="8" fillId="0" borderId="8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8" fillId="0" borderId="0" xfId="0" applyFont="1" applyBorder="1" applyAlignment="1">
      <alignment horizontal="right"/>
    </xf>
    <xf numFmtId="0" fontId="7" fillId="0" borderId="0" xfId="2" applyFont="1"/>
    <xf numFmtId="0" fontId="8" fillId="0" borderId="8" xfId="2" applyFont="1" applyBorder="1" applyAlignment="1">
      <alignment horizontal="right"/>
    </xf>
    <xf numFmtId="0" fontId="8" fillId="0" borderId="8" xfId="2" applyFont="1" applyBorder="1" applyAlignment="1">
      <alignment horizontal="left"/>
    </xf>
    <xf numFmtId="0" fontId="8" fillId="0" borderId="8" xfId="2" applyFont="1" applyBorder="1" applyAlignment="1">
      <alignment horizontal="center"/>
    </xf>
    <xf numFmtId="0" fontId="7" fillId="0" borderId="0" xfId="2" applyFont="1" applyBorder="1" applyAlignment="1">
      <alignment horizontal="center"/>
    </xf>
    <xf numFmtId="0" fontId="7" fillId="0" borderId="0" xfId="2" applyFont="1" applyBorder="1" applyAlignment="1">
      <alignment horizontal="left"/>
    </xf>
    <xf numFmtId="0" fontId="7" fillId="0" borderId="0" xfId="2" applyFont="1" applyBorder="1"/>
    <xf numFmtId="0" fontId="7" fillId="0" borderId="8" xfId="2" applyFont="1" applyBorder="1"/>
    <xf numFmtId="0" fontId="2" fillId="0" borderId="8" xfId="0" applyFont="1" applyFill="1" applyBorder="1" applyAlignment="1">
      <alignment horizontal="center" vertical="top" wrapText="1"/>
    </xf>
    <xf numFmtId="0" fontId="2" fillId="0" borderId="8" xfId="0" applyFont="1" applyFill="1" applyBorder="1"/>
    <xf numFmtId="0" fontId="0" fillId="0" borderId="0" xfId="0" applyAlignment="1"/>
    <xf numFmtId="0" fontId="7" fillId="0" borderId="0" xfId="2" applyFont="1" applyAlignment="1"/>
    <xf numFmtId="0" fontId="2" fillId="0" borderId="0" xfId="0" applyFont="1" applyAlignment="1"/>
    <xf numFmtId="0" fontId="2" fillId="0" borderId="9" xfId="0" applyFont="1" applyFill="1" applyBorder="1" applyAlignment="1">
      <alignment horizontal="center" vertical="top" wrapText="1"/>
    </xf>
    <xf numFmtId="0" fontId="2" fillId="0" borderId="8" xfId="0" applyFont="1" applyFill="1" applyBorder="1" applyAlignment="1">
      <alignment horizontal="left" vertical="top" wrapText="1"/>
    </xf>
    <xf numFmtId="0" fontId="2" fillId="0" borderId="8" xfId="3" applyFont="1" applyFill="1" applyBorder="1" applyAlignment="1">
      <alignment horizontal="center" vertical="center" wrapText="1"/>
    </xf>
    <xf numFmtId="2" fontId="2" fillId="0" borderId="8" xfId="0" applyNumberFormat="1" applyFont="1" applyFill="1" applyBorder="1" applyAlignment="1">
      <alignment horizontal="center"/>
    </xf>
    <xf numFmtId="0" fontId="2" fillId="0" borderId="8" xfId="3" applyFont="1" applyFill="1" applyBorder="1" applyAlignment="1">
      <alignment horizontal="left" vertical="center" wrapText="1"/>
    </xf>
    <xf numFmtId="0" fontId="2" fillId="0" borderId="8" xfId="3" applyNumberFormat="1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center" vertical="top" wrapText="1"/>
    </xf>
    <xf numFmtId="0" fontId="2" fillId="0" borderId="7" xfId="3" applyFont="1" applyFill="1" applyBorder="1" applyAlignment="1">
      <alignment horizontal="left" vertical="center" wrapText="1"/>
    </xf>
    <xf numFmtId="0" fontId="2" fillId="0" borderId="7" xfId="3" applyNumberFormat="1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justify" vertical="top" wrapText="1"/>
    </xf>
    <xf numFmtId="2" fontId="1" fillId="0" borderId="12" xfId="0" applyNumberFormat="1" applyFont="1" applyFill="1" applyBorder="1" applyAlignment="1">
      <alignment horizontal="center" vertical="top" wrapText="1"/>
    </xf>
    <xf numFmtId="0" fontId="7" fillId="0" borderId="0" xfId="0" applyFont="1" applyFill="1"/>
    <xf numFmtId="0" fontId="14" fillId="0" borderId="0" xfId="0" applyFont="1"/>
    <xf numFmtId="0" fontId="15" fillId="0" borderId="0" xfId="0" applyFont="1"/>
    <xf numFmtId="0" fontId="2" fillId="0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0" borderId="10" xfId="0" applyFont="1" applyFill="1" applyBorder="1"/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 wrapText="1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 vertical="center" wrapText="1" indent="1"/>
    </xf>
    <xf numFmtId="0" fontId="8" fillId="0" borderId="0" xfId="0" applyFont="1"/>
    <xf numFmtId="0" fontId="7" fillId="0" borderId="8" xfId="0" applyFont="1" applyFill="1" applyBorder="1" applyAlignment="1">
      <alignment horizontal="center"/>
    </xf>
    <xf numFmtId="2" fontId="8" fillId="0" borderId="8" xfId="0" applyNumberFormat="1" applyFont="1" applyBorder="1" applyAlignment="1">
      <alignment horizontal="center"/>
    </xf>
    <xf numFmtId="2" fontId="7" fillId="0" borderId="8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8" xfId="0" applyFont="1" applyBorder="1" applyAlignment="1">
      <alignment horizontal="right"/>
    </xf>
    <xf numFmtId="0" fontId="14" fillId="0" borderId="8" xfId="2" applyFont="1" applyBorder="1" applyAlignment="1">
      <alignment horizontal="center" vertical="center" wrapText="1"/>
    </xf>
    <xf numFmtId="0" fontId="14" fillId="0" borderId="8" xfId="2" applyFont="1" applyFill="1" applyBorder="1" applyAlignment="1">
      <alignment horizontal="center" vertical="center" wrapText="1"/>
    </xf>
    <xf numFmtId="0" fontId="14" fillId="0" borderId="0" xfId="2" applyFont="1" applyAlignment="1">
      <alignment wrapText="1"/>
    </xf>
    <xf numFmtId="0" fontId="14" fillId="0" borderId="0" xfId="2" applyFont="1"/>
    <xf numFmtId="0" fontId="14" fillId="0" borderId="8" xfId="2" applyFont="1" applyFill="1" applyBorder="1" applyAlignment="1">
      <alignment horizontal="center" vertical="top"/>
    </xf>
    <xf numFmtId="0" fontId="14" fillId="0" borderId="8" xfId="2" applyFont="1" applyBorder="1" applyAlignment="1">
      <alignment horizontal="center" vertical="top"/>
    </xf>
    <xf numFmtId="0" fontId="14" fillId="0" borderId="8" xfId="2" applyFont="1" applyFill="1" applyBorder="1" applyAlignment="1">
      <alignment horizontal="left" vertical="top" wrapText="1"/>
    </xf>
    <xf numFmtId="0" fontId="7" fillId="0" borderId="0" xfId="2" applyFont="1" applyAlignment="1">
      <alignment wrapText="1"/>
    </xf>
    <xf numFmtId="0" fontId="5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2" fillId="0" borderId="17" xfId="0" applyFont="1" applyFill="1" applyBorder="1" applyAlignment="1">
      <alignment horizontal="center"/>
    </xf>
    <xf numFmtId="2" fontId="3" fillId="0" borderId="17" xfId="0" applyNumberFormat="1" applyFont="1" applyFill="1" applyBorder="1" applyAlignment="1">
      <alignment horizontal="center"/>
    </xf>
    <xf numFmtId="0" fontId="2" fillId="0" borderId="15" xfId="0" applyNumberFormat="1" applyFont="1" applyFill="1" applyBorder="1" applyAlignment="1">
      <alignment horizontal="center"/>
    </xf>
    <xf numFmtId="2" fontId="2" fillId="0" borderId="0" xfId="0" applyNumberFormat="1" applyFont="1" applyFill="1"/>
    <xf numFmtId="3" fontId="14" fillId="0" borderId="8" xfId="2" applyNumberFormat="1" applyFont="1" applyFill="1" applyBorder="1" applyAlignment="1">
      <alignment horizontal="center" vertical="top"/>
    </xf>
    <xf numFmtId="0" fontId="11" fillId="0" borderId="0" xfId="0" applyFont="1"/>
    <xf numFmtId="49" fontId="11" fillId="0" borderId="0" xfId="0" applyNumberFormat="1" applyFont="1"/>
    <xf numFmtId="0" fontId="11" fillId="0" borderId="0" xfId="0" applyFont="1" applyAlignment="1">
      <alignment horizontal="justify" vertical="center"/>
    </xf>
    <xf numFmtId="0" fontId="0" fillId="0" borderId="20" xfId="0" applyBorder="1"/>
    <xf numFmtId="0" fontId="0" fillId="0" borderId="21" xfId="0" applyBorder="1"/>
    <xf numFmtId="1" fontId="1" fillId="0" borderId="12" xfId="0" applyNumberFormat="1" applyFont="1" applyFill="1" applyBorder="1" applyAlignment="1">
      <alignment horizontal="center" vertical="top" wrapText="1"/>
    </xf>
    <xf numFmtId="1" fontId="0" fillId="0" borderId="0" xfId="0" applyNumberFormat="1"/>
    <xf numFmtId="1" fontId="0" fillId="0" borderId="20" xfId="0" applyNumberFormat="1" applyBorder="1"/>
    <xf numFmtId="1" fontId="0" fillId="0" borderId="21" xfId="0" applyNumberFormat="1" applyBorder="1"/>
    <xf numFmtId="0" fontId="14" fillId="0" borderId="0" xfId="2" applyFont="1" applyBorder="1" applyAlignment="1">
      <alignment horizontal="center" vertical="center" wrapText="1"/>
    </xf>
    <xf numFmtId="0" fontId="14" fillId="0" borderId="0" xfId="2" applyFont="1" applyBorder="1" applyAlignment="1">
      <alignment horizontal="center" vertical="top"/>
    </xf>
    <xf numFmtId="0" fontId="19" fillId="0" borderId="17" xfId="2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0" borderId="0" xfId="2" applyFont="1" applyFill="1" applyBorder="1" applyAlignment="1">
      <alignment horizontal="center" vertical="center" wrapText="1"/>
    </xf>
    <xf numFmtId="0" fontId="8" fillId="0" borderId="0" xfId="2" applyFont="1" applyBorder="1" applyAlignment="1">
      <alignment horizontal="right"/>
    </xf>
    <xf numFmtId="0" fontId="8" fillId="0" borderId="0" xfId="2" applyFont="1" applyBorder="1" applyAlignment="1">
      <alignment horizontal="left"/>
    </xf>
    <xf numFmtId="0" fontId="8" fillId="0" borderId="0" xfId="2" applyFont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164" fontId="2" fillId="0" borderId="17" xfId="0" applyNumberFormat="1" applyFont="1" applyFill="1" applyBorder="1" applyAlignment="1">
      <alignment horizontal="center"/>
    </xf>
    <xf numFmtId="2" fontId="2" fillId="0" borderId="7" xfId="0" applyNumberFormat="1" applyFont="1" applyFill="1" applyBorder="1" applyAlignment="1">
      <alignment horizontal="center"/>
    </xf>
    <xf numFmtId="2" fontId="2" fillId="0" borderId="10" xfId="0" applyNumberFormat="1" applyFont="1" applyFill="1" applyBorder="1" applyAlignment="1">
      <alignment horizontal="left"/>
    </xf>
    <xf numFmtId="0" fontId="7" fillId="0" borderId="17" xfId="0" applyFont="1" applyBorder="1" applyAlignment="1">
      <alignment horizontal="center" wrapText="1"/>
    </xf>
    <xf numFmtId="0" fontId="7" fillId="0" borderId="18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0" fillId="0" borderId="0" xfId="0" applyBorder="1"/>
    <xf numFmtId="1" fontId="0" fillId="0" borderId="0" xfId="0" applyNumberFormat="1" applyBorder="1"/>
    <xf numFmtId="0" fontId="0" fillId="0" borderId="0" xfId="0" applyFill="1" applyBorder="1"/>
    <xf numFmtId="0" fontId="2" fillId="0" borderId="9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0" fontId="2" fillId="0" borderId="0" xfId="0" applyFont="1" applyFill="1" applyAlignment="1">
      <alignment horizontal="center"/>
    </xf>
    <xf numFmtId="0" fontId="1" fillId="0" borderId="9" xfId="0" applyFont="1" applyFill="1" applyBorder="1" applyAlignment="1">
      <alignment horizontal="center" vertical="top" wrapText="1"/>
    </xf>
    <xf numFmtId="0" fontId="1" fillId="0" borderId="8" xfId="0" applyFont="1" applyFill="1" applyBorder="1" applyAlignment="1">
      <alignment horizontal="center" vertical="top" wrapText="1"/>
    </xf>
    <xf numFmtId="0" fontId="1" fillId="0" borderId="0" xfId="0" applyFont="1" applyFill="1" applyAlignment="1">
      <alignment horizontal="center"/>
    </xf>
    <xf numFmtId="0" fontId="2" fillId="0" borderId="3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/>
    </xf>
    <xf numFmtId="0" fontId="2" fillId="0" borderId="0" xfId="0" applyFont="1" applyFill="1" applyAlignment="1"/>
    <xf numFmtId="0" fontId="5" fillId="0" borderId="0" xfId="0" applyFont="1" applyFill="1" applyAlignment="1">
      <alignment horizontal="center"/>
    </xf>
    <xf numFmtId="0" fontId="3" fillId="0" borderId="15" xfId="0" applyFont="1" applyFill="1" applyBorder="1" applyAlignment="1">
      <alignment horizontal="center"/>
    </xf>
    <xf numFmtId="0" fontId="7" fillId="0" borderId="0" xfId="0" applyFont="1" applyAlignment="1"/>
    <xf numFmtId="0" fontId="2" fillId="0" borderId="0" xfId="0" applyFont="1" applyFill="1" applyAlignment="1">
      <alignment wrapText="1"/>
    </xf>
    <xf numFmtId="0" fontId="0" fillId="0" borderId="0" xfId="0" applyAlignment="1"/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3" xfId="0" applyFont="1" applyBorder="1" applyAlignment="1">
      <alignment horizontal="left"/>
    </xf>
    <xf numFmtId="0" fontId="7" fillId="0" borderId="17" xfId="0" applyFont="1" applyBorder="1" applyAlignment="1">
      <alignment horizontal="left" wrapText="1"/>
    </xf>
    <xf numFmtId="0" fontId="7" fillId="0" borderId="18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7" xfId="0" applyNumberFormat="1" applyFont="1" applyBorder="1" applyAlignment="1">
      <alignment horizontal="left" wrapText="1"/>
    </xf>
    <xf numFmtId="0" fontId="7" fillId="0" borderId="18" xfId="0" applyNumberFormat="1" applyFont="1" applyBorder="1" applyAlignment="1">
      <alignment horizontal="left" wrapText="1"/>
    </xf>
    <xf numFmtId="0" fontId="7" fillId="0" borderId="13" xfId="0" applyNumberFormat="1" applyFont="1" applyBorder="1" applyAlignment="1">
      <alignment horizontal="left" wrapText="1"/>
    </xf>
    <xf numFmtId="0" fontId="7" fillId="0" borderId="17" xfId="0" applyFont="1" applyBorder="1" applyAlignment="1">
      <alignment horizontal="left"/>
    </xf>
    <xf numFmtId="0" fontId="7" fillId="0" borderId="18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8" xfId="0" applyFont="1" applyFill="1" applyBorder="1" applyAlignment="1">
      <alignment horizontal="left"/>
    </xf>
    <xf numFmtId="0" fontId="7" fillId="0" borderId="13" xfId="0" applyFont="1" applyFill="1" applyBorder="1" applyAlignment="1">
      <alignment horizontal="left"/>
    </xf>
    <xf numFmtId="0" fontId="8" fillId="0" borderId="8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7" fillId="0" borderId="0" xfId="0" applyFont="1" applyAlignment="1">
      <alignment horizontal="center"/>
    </xf>
    <xf numFmtId="49" fontId="7" fillId="0" borderId="17" xfId="0" applyNumberFormat="1" applyFont="1" applyBorder="1" applyAlignment="1">
      <alignment horizontal="left" vertical="top"/>
    </xf>
    <xf numFmtId="49" fontId="7" fillId="0" borderId="18" xfId="0" applyNumberFormat="1" applyFont="1" applyBorder="1" applyAlignment="1">
      <alignment horizontal="left" vertical="top"/>
    </xf>
    <xf numFmtId="49" fontId="7" fillId="0" borderId="13" xfId="0" applyNumberFormat="1" applyFont="1" applyBorder="1" applyAlignment="1">
      <alignment horizontal="left" vertical="top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13" xfId="0" applyFont="1" applyBorder="1" applyAlignment="1">
      <alignment horizontal="left"/>
    </xf>
    <xf numFmtId="0" fontId="8" fillId="0" borderId="0" xfId="0" applyFont="1" applyAlignment="1">
      <alignment horizontal="center"/>
    </xf>
    <xf numFmtId="0" fontId="14" fillId="0" borderId="19" xfId="0" applyFont="1" applyBorder="1" applyAlignment="1">
      <alignment horizontal="left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left" wrapText="1"/>
    </xf>
    <xf numFmtId="0" fontId="7" fillId="0" borderId="8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8" xfId="0" applyFont="1" applyBorder="1" applyAlignment="1">
      <alignment horizontal="center" vertical="center" wrapText="1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7" fillId="0" borderId="0" xfId="2" applyFont="1" applyAlignment="1">
      <alignment horizontal="left"/>
    </xf>
    <xf numFmtId="0" fontId="7" fillId="0" borderId="0" xfId="2" applyFont="1" applyAlignment="1"/>
    <xf numFmtId="0" fontId="14" fillId="0" borderId="7" xfId="2" applyFont="1" applyFill="1" applyBorder="1" applyAlignment="1">
      <alignment horizontal="left" vertical="top" wrapText="1"/>
    </xf>
    <xf numFmtId="0" fontId="14" fillId="0" borderId="22" xfId="2" applyFont="1" applyFill="1" applyBorder="1" applyAlignment="1">
      <alignment horizontal="left" vertical="top" wrapText="1"/>
    </xf>
  </cellXfs>
  <cellStyles count="4">
    <cellStyle name="Обычный" xfId="0" builtinId="0"/>
    <cellStyle name="Обычный 2" xfId="1"/>
    <cellStyle name="Обычный_06БФ050-01" xfId="2"/>
    <cellStyle name="Обычный_Штатний ФІЗИЧНИЙ Ф-Т 2010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view="pageBreakPreview" topLeftCell="A13" zoomScale="75" workbookViewId="0">
      <selection activeCell="K25" sqref="K25"/>
    </sheetView>
  </sheetViews>
  <sheetFormatPr defaultColWidth="9.109375" defaultRowHeight="18" x14ac:dyDescent="0.35"/>
  <cols>
    <col min="1" max="1" width="4.6640625" style="2" customWidth="1"/>
    <col min="2" max="2" width="39.6640625" style="2" customWidth="1"/>
    <col min="3" max="3" width="15.109375" style="2" customWidth="1"/>
    <col min="4" max="4" width="14.88671875" style="2" customWidth="1"/>
    <col min="5" max="5" width="14.6640625" style="2" customWidth="1"/>
    <col min="6" max="6" width="9.33203125" style="2" customWidth="1"/>
    <col min="7" max="7" width="14.44140625" style="2" customWidth="1"/>
    <col min="8" max="8" width="11" style="2" customWidth="1"/>
    <col min="9" max="9" width="14.6640625" style="2" customWidth="1"/>
    <col min="10" max="10" width="10" style="2" customWidth="1"/>
    <col min="11" max="11" width="14.33203125" style="2" customWidth="1"/>
    <col min="12" max="12" width="13" style="2" customWidth="1"/>
    <col min="13" max="13" width="15" style="2" customWidth="1"/>
    <col min="14" max="14" width="37.5546875" style="2" customWidth="1"/>
    <col min="15" max="15" width="9.109375" style="2"/>
    <col min="16" max="16" width="15.44140625" style="2" customWidth="1"/>
    <col min="17" max="16384" width="9.109375" style="2"/>
  </cols>
  <sheetData>
    <row r="1" spans="1:14" x14ac:dyDescent="0.35">
      <c r="A1" s="19" t="s">
        <v>47</v>
      </c>
      <c r="B1" s="19"/>
      <c r="C1" s="19"/>
      <c r="D1" s="19"/>
      <c r="J1" s="130"/>
      <c r="K1" s="130"/>
      <c r="L1" s="130"/>
      <c r="M1" s="130"/>
    </row>
    <row r="2" spans="1:14" x14ac:dyDescent="0.35">
      <c r="A2" s="19" t="s">
        <v>48</v>
      </c>
      <c r="B2" s="19"/>
      <c r="C2" s="19"/>
      <c r="D2" s="19"/>
      <c r="I2" s="130" t="s">
        <v>64</v>
      </c>
      <c r="J2" s="130"/>
      <c r="K2" s="130"/>
    </row>
    <row r="3" spans="1:14" x14ac:dyDescent="0.35">
      <c r="I3" s="130"/>
      <c r="J3" s="130"/>
      <c r="K3" s="130"/>
    </row>
    <row r="7" spans="1:14" x14ac:dyDescent="0.35">
      <c r="A7" s="125" t="s">
        <v>15</v>
      </c>
      <c r="B7" s="125"/>
      <c r="C7" s="125"/>
      <c r="D7" s="125"/>
      <c r="E7" s="125"/>
      <c r="F7" s="125"/>
      <c r="G7" s="125"/>
      <c r="H7" s="125"/>
      <c r="I7" s="125"/>
      <c r="J7" s="80"/>
      <c r="L7" s="80"/>
    </row>
    <row r="8" spans="1:14" x14ac:dyDescent="0.35">
      <c r="A8" s="122" t="s">
        <v>0</v>
      </c>
      <c r="B8" s="122"/>
      <c r="C8" s="122"/>
      <c r="D8" s="122"/>
      <c r="E8" s="122"/>
      <c r="F8" s="122"/>
      <c r="G8" s="122"/>
      <c r="H8" s="122"/>
      <c r="I8" s="122"/>
      <c r="J8" s="79"/>
      <c r="L8" s="79"/>
    </row>
    <row r="9" spans="1:14" x14ac:dyDescent="0.35">
      <c r="A9" s="122" t="s">
        <v>67</v>
      </c>
      <c r="B9" s="122"/>
      <c r="C9" s="122"/>
      <c r="D9" s="122"/>
      <c r="E9" s="122"/>
      <c r="F9" s="122"/>
      <c r="G9" s="122"/>
      <c r="H9" s="122"/>
      <c r="I9" s="122"/>
      <c r="J9" s="79"/>
      <c r="L9" s="79"/>
    </row>
    <row r="10" spans="1:14" x14ac:dyDescent="0.35">
      <c r="A10" s="122" t="s">
        <v>1</v>
      </c>
      <c r="B10" s="122"/>
      <c r="C10" s="122"/>
      <c r="D10" s="122"/>
      <c r="E10" s="122"/>
      <c r="F10" s="122"/>
      <c r="G10" s="122"/>
      <c r="H10" s="122"/>
      <c r="I10" s="122"/>
      <c r="J10" s="79"/>
      <c r="L10" s="79"/>
    </row>
    <row r="11" spans="1:14" ht="18.600000000000001" thickBot="1" x14ac:dyDescent="0.4">
      <c r="A11" s="131" t="s">
        <v>69</v>
      </c>
      <c r="B11" s="131"/>
      <c r="C11" s="131"/>
      <c r="D11" s="131"/>
      <c r="E11" s="131"/>
      <c r="F11" s="131"/>
      <c r="G11" s="131"/>
      <c r="H11" s="131"/>
      <c r="I11" s="131"/>
      <c r="J11" s="78"/>
      <c r="L11" s="78"/>
    </row>
    <row r="12" spans="1:14" s="3" customFormat="1" ht="18.600000000000001" thickBot="1" x14ac:dyDescent="0.4">
      <c r="A12" s="126" t="s">
        <v>6</v>
      </c>
      <c r="B12" s="126" t="s">
        <v>7</v>
      </c>
      <c r="C12" s="126" t="s">
        <v>2</v>
      </c>
      <c r="D12" s="126" t="s">
        <v>3</v>
      </c>
      <c r="E12" s="128" t="s">
        <v>11</v>
      </c>
      <c r="F12" s="132"/>
      <c r="G12" s="128" t="s">
        <v>12</v>
      </c>
      <c r="H12" s="129"/>
      <c r="I12" s="126" t="s">
        <v>5</v>
      </c>
      <c r="J12" s="128">
        <v>2020</v>
      </c>
      <c r="K12" s="129"/>
      <c r="L12" s="128">
        <v>2021</v>
      </c>
      <c r="M12" s="129"/>
    </row>
    <row r="13" spans="1:14" s="3" customFormat="1" ht="56.25" customHeight="1" thickBot="1" x14ac:dyDescent="0.4">
      <c r="A13" s="127"/>
      <c r="B13" s="127"/>
      <c r="C13" s="127"/>
      <c r="D13" s="127"/>
      <c r="E13" s="4" t="s">
        <v>70</v>
      </c>
      <c r="F13" s="4" t="s">
        <v>13</v>
      </c>
      <c r="G13" s="4" t="s">
        <v>9</v>
      </c>
      <c r="H13" s="4" t="s">
        <v>10</v>
      </c>
      <c r="I13" s="127"/>
      <c r="J13" s="4" t="s">
        <v>71</v>
      </c>
      <c r="K13" s="4" t="s">
        <v>8</v>
      </c>
      <c r="L13" s="4" t="s">
        <v>71</v>
      </c>
      <c r="M13" s="4" t="s">
        <v>8</v>
      </c>
      <c r="N13" s="3" t="s">
        <v>16</v>
      </c>
    </row>
    <row r="14" spans="1:14" s="3" customFormat="1" ht="18.600000000000001" thickBot="1" x14ac:dyDescent="0.4">
      <c r="A14" s="5">
        <v>1</v>
      </c>
      <c r="B14" s="6">
        <v>2</v>
      </c>
      <c r="C14" s="7">
        <v>3</v>
      </c>
      <c r="D14" s="6">
        <v>4</v>
      </c>
      <c r="E14" s="7">
        <v>5</v>
      </c>
      <c r="F14" s="6">
        <v>6</v>
      </c>
      <c r="G14" s="7">
        <v>7</v>
      </c>
      <c r="H14" s="6">
        <v>8</v>
      </c>
      <c r="I14" s="7">
        <v>9</v>
      </c>
      <c r="J14" s="84">
        <v>10</v>
      </c>
      <c r="K14" s="14">
        <v>11</v>
      </c>
      <c r="L14" s="84">
        <v>12</v>
      </c>
      <c r="M14" s="14">
        <v>13</v>
      </c>
    </row>
    <row r="15" spans="1:14" s="1" customFormat="1" ht="60.75" customHeight="1" x14ac:dyDescent="0.3">
      <c r="A15" s="120"/>
      <c r="B15" s="121"/>
      <c r="C15" s="121"/>
      <c r="D15" s="121"/>
      <c r="E15" s="121"/>
      <c r="F15" s="121"/>
      <c r="G15" s="121"/>
      <c r="H15" s="121"/>
      <c r="I15" s="121"/>
      <c r="J15" s="81"/>
      <c r="K15" s="12"/>
      <c r="L15" s="81"/>
      <c r="M15" s="12"/>
    </row>
    <row r="16" spans="1:14" ht="39" customHeight="1" x14ac:dyDescent="0.35">
      <c r="A16" s="123" t="s">
        <v>68</v>
      </c>
      <c r="B16" s="124"/>
      <c r="C16" s="124"/>
      <c r="D16" s="124"/>
      <c r="E16" s="124"/>
      <c r="F16" s="124"/>
      <c r="G16" s="124"/>
      <c r="H16" s="124"/>
      <c r="I16" s="124"/>
      <c r="J16" s="8"/>
      <c r="K16" s="13"/>
      <c r="L16" s="8"/>
      <c r="M16" s="13"/>
    </row>
    <row r="17" spans="1:16" ht="18" customHeight="1" x14ac:dyDescent="0.35">
      <c r="A17" s="118"/>
      <c r="B17" s="119"/>
      <c r="C17" s="119"/>
      <c r="D17" s="119"/>
      <c r="E17" s="119"/>
      <c r="F17" s="119"/>
      <c r="G17" s="119"/>
      <c r="H17" s="119"/>
      <c r="I17" s="119"/>
      <c r="J17" s="82"/>
      <c r="K17" s="58"/>
      <c r="L17" s="82"/>
      <c r="M17" s="58"/>
    </row>
    <row r="18" spans="1:16" s="62" customFormat="1" ht="72" hidden="1" x14ac:dyDescent="0.35">
      <c r="A18" s="59"/>
      <c r="B18" s="60" t="s">
        <v>14</v>
      </c>
      <c r="C18" s="60"/>
      <c r="D18" s="60">
        <v>6108</v>
      </c>
      <c r="E18" s="60"/>
      <c r="F18" s="60"/>
      <c r="G18" s="60"/>
      <c r="H18" s="60"/>
      <c r="I18" s="44">
        <f>(H18+G18+F18+E18)*C18*D18/100+C18*D18</f>
        <v>0</v>
      </c>
      <c r="J18" s="83"/>
      <c r="K18" s="61" t="s">
        <v>65</v>
      </c>
      <c r="L18" s="83"/>
      <c r="M18" s="61" t="s">
        <v>65</v>
      </c>
    </row>
    <row r="19" spans="1:16" ht="42" customHeight="1" x14ac:dyDescent="0.35">
      <c r="A19" s="41">
        <v>1</v>
      </c>
      <c r="B19" s="42" t="s">
        <v>45</v>
      </c>
      <c r="C19" s="36">
        <v>1</v>
      </c>
      <c r="D19" s="43">
        <v>13494</v>
      </c>
      <c r="E19" s="43">
        <v>49</v>
      </c>
      <c r="F19" s="43"/>
      <c r="G19" s="43">
        <v>25</v>
      </c>
      <c r="H19" s="43">
        <v>25</v>
      </c>
      <c r="I19" s="44">
        <f t="shared" ref="I19:I25" si="0">C19*D19+C19*D19*(E19+F19+H19+G19)/100</f>
        <v>26853.059999999998</v>
      </c>
      <c r="J19" s="109">
        <v>3</v>
      </c>
      <c r="K19" s="111">
        <f>J19*I19</f>
        <v>80559.179999999993</v>
      </c>
      <c r="L19" s="109">
        <v>11.5</v>
      </c>
      <c r="M19" s="111">
        <f>L19*I19</f>
        <v>308810.18999999994</v>
      </c>
      <c r="N19" s="2" t="s">
        <v>72</v>
      </c>
      <c r="P19" s="85">
        <f>SUM(I19:I22)*1.22</f>
        <v>93497.969599999982</v>
      </c>
    </row>
    <row r="20" spans="1:16" ht="39.6" customHeight="1" x14ac:dyDescent="0.35">
      <c r="A20" s="41">
        <v>2</v>
      </c>
      <c r="B20" s="42" t="s">
        <v>45</v>
      </c>
      <c r="C20" s="36">
        <v>1</v>
      </c>
      <c r="D20" s="43">
        <v>13494</v>
      </c>
      <c r="E20" s="43">
        <v>30</v>
      </c>
      <c r="F20" s="43"/>
      <c r="G20" s="43">
        <v>25</v>
      </c>
      <c r="H20" s="43">
        <v>33</v>
      </c>
      <c r="I20" s="44">
        <f>C20*D20+C20*D20*(E20+F20+H20+G20)/100</f>
        <v>25368.720000000001</v>
      </c>
      <c r="J20" s="109">
        <v>3</v>
      </c>
      <c r="K20" s="111">
        <f t="shared" ref="K20:K22" si="1">J20*I20</f>
        <v>76106.16</v>
      </c>
      <c r="L20" s="109">
        <v>11.5</v>
      </c>
      <c r="M20" s="111">
        <f>L20*I20</f>
        <v>291740.28000000003</v>
      </c>
      <c r="N20" s="2" t="s">
        <v>120</v>
      </c>
      <c r="P20" s="85">
        <f>SUM(I19:I22)*2*1.22</f>
        <v>186995.93919999996</v>
      </c>
    </row>
    <row r="21" spans="1:16" ht="32.4" customHeight="1" x14ac:dyDescent="0.35">
      <c r="A21" s="41">
        <v>3</v>
      </c>
      <c r="B21" s="45" t="s">
        <v>46</v>
      </c>
      <c r="C21" s="46">
        <v>1</v>
      </c>
      <c r="D21" s="43">
        <v>10846</v>
      </c>
      <c r="E21" s="36">
        <v>30</v>
      </c>
      <c r="F21" s="37"/>
      <c r="G21" s="36">
        <v>15</v>
      </c>
      <c r="H21" s="36"/>
      <c r="I21" s="44">
        <f t="shared" si="0"/>
        <v>15726.7</v>
      </c>
      <c r="J21" s="109">
        <v>3</v>
      </c>
      <c r="K21" s="111">
        <f t="shared" si="1"/>
        <v>47180.100000000006</v>
      </c>
      <c r="L21" s="109">
        <v>11.5</v>
      </c>
      <c r="M21" s="111">
        <f t="shared" ref="M21:M25" si="2">L21*I21</f>
        <v>180857.05000000002</v>
      </c>
      <c r="N21" s="2" t="s">
        <v>121</v>
      </c>
      <c r="P21" s="85">
        <f>SUM(I19:I22)*3*1.22</f>
        <v>280493.90879999998</v>
      </c>
    </row>
    <row r="22" spans="1:16" x14ac:dyDescent="0.35">
      <c r="A22" s="41">
        <v>4</v>
      </c>
      <c r="B22" s="47" t="s">
        <v>73</v>
      </c>
      <c r="C22" s="36">
        <v>1</v>
      </c>
      <c r="D22" s="43">
        <v>6684</v>
      </c>
      <c r="E22" s="36">
        <v>30</v>
      </c>
      <c r="F22" s="37"/>
      <c r="G22" s="36"/>
      <c r="H22" s="36"/>
      <c r="I22" s="44">
        <f t="shared" si="0"/>
        <v>8689.2000000000007</v>
      </c>
      <c r="J22" s="109">
        <v>3</v>
      </c>
      <c r="K22" s="111">
        <f t="shared" si="1"/>
        <v>26067.600000000002</v>
      </c>
      <c r="L22" s="109">
        <v>11.5</v>
      </c>
      <c r="M22" s="111">
        <f t="shared" si="2"/>
        <v>99925.8</v>
      </c>
      <c r="N22" s="2" t="s">
        <v>122</v>
      </c>
      <c r="P22" s="85">
        <f>I26*1.22*3</f>
        <v>390252.55079999997</v>
      </c>
    </row>
    <row r="23" spans="1:16" ht="36" x14ac:dyDescent="0.35">
      <c r="A23" s="41">
        <v>5</v>
      </c>
      <c r="B23" s="47" t="s">
        <v>59</v>
      </c>
      <c r="C23" s="36">
        <v>1</v>
      </c>
      <c r="D23" s="43">
        <v>9544</v>
      </c>
      <c r="E23" s="36">
        <v>30</v>
      </c>
      <c r="F23" s="37"/>
      <c r="G23" s="36">
        <v>15</v>
      </c>
      <c r="H23" s="36"/>
      <c r="I23" s="44">
        <f t="shared" si="0"/>
        <v>13838.8</v>
      </c>
      <c r="J23" s="109">
        <v>3</v>
      </c>
      <c r="K23" s="111">
        <f t="shared" ref="K23:K25" si="3">J23*I23</f>
        <v>41516.399999999994</v>
      </c>
      <c r="L23" s="109">
        <v>11.5</v>
      </c>
      <c r="M23" s="111">
        <f t="shared" si="2"/>
        <v>159146.19999999998</v>
      </c>
      <c r="N23" s="2" t="s">
        <v>126</v>
      </c>
    </row>
    <row r="24" spans="1:16" x14ac:dyDescent="0.35">
      <c r="A24" s="41">
        <v>6</v>
      </c>
      <c r="B24" s="47" t="s">
        <v>73</v>
      </c>
      <c r="C24" s="36">
        <v>1</v>
      </c>
      <c r="D24" s="43">
        <v>6684</v>
      </c>
      <c r="E24" s="36">
        <v>30</v>
      </c>
      <c r="F24" s="37"/>
      <c r="G24" s="36"/>
      <c r="H24" s="36"/>
      <c r="I24" s="44">
        <f t="shared" si="0"/>
        <v>8689.2000000000007</v>
      </c>
      <c r="J24" s="109">
        <v>3</v>
      </c>
      <c r="K24" s="111">
        <f t="shared" si="3"/>
        <v>26067.600000000002</v>
      </c>
      <c r="L24" s="109">
        <v>11.5</v>
      </c>
      <c r="M24" s="111">
        <f t="shared" si="2"/>
        <v>99925.8</v>
      </c>
      <c r="N24" s="2" t="s">
        <v>124</v>
      </c>
    </row>
    <row r="25" spans="1:16" ht="18.600000000000001" thickBot="1" x14ac:dyDescent="0.4">
      <c r="A25" s="48">
        <v>12</v>
      </c>
      <c r="B25" s="49" t="s">
        <v>123</v>
      </c>
      <c r="C25" s="50">
        <v>1</v>
      </c>
      <c r="D25" s="43">
        <v>5739</v>
      </c>
      <c r="E25" s="36">
        <v>30</v>
      </c>
      <c r="F25" s="16"/>
      <c r="G25" s="18"/>
      <c r="H25" s="18"/>
      <c r="I25" s="110">
        <f t="shared" si="0"/>
        <v>7460.7</v>
      </c>
      <c r="J25" s="109">
        <v>3</v>
      </c>
      <c r="K25" s="111">
        <f t="shared" si="3"/>
        <v>22382.1</v>
      </c>
      <c r="L25" s="109">
        <v>11.5</v>
      </c>
      <c r="M25" s="111">
        <f t="shared" si="2"/>
        <v>85798.05</v>
      </c>
      <c r="N25" s="2" t="s">
        <v>125</v>
      </c>
    </row>
    <row r="26" spans="1:16" s="53" customFormat="1" ht="18.600000000000001" thickBot="1" x14ac:dyDescent="0.4">
      <c r="A26" s="15"/>
      <c r="B26" s="51" t="s">
        <v>4</v>
      </c>
      <c r="C26" s="52">
        <f>SUM(C19:C25)</f>
        <v>7</v>
      </c>
      <c r="D26" s="52"/>
      <c r="E26" s="52"/>
      <c r="F26" s="52"/>
      <c r="G26" s="52"/>
      <c r="H26" s="52"/>
      <c r="I26" s="92">
        <f>SUM(I19:I25)</f>
        <v>106626.37999999999</v>
      </c>
      <c r="J26" s="52"/>
      <c r="K26" s="92">
        <f t="shared" ref="K26" si="4">SUM(K19:K25)</f>
        <v>319879.13999999996</v>
      </c>
      <c r="L26" s="52"/>
      <c r="M26" s="92">
        <f t="shared" ref="M26" si="5">SUM(M19:M25)</f>
        <v>1226203.3700000001</v>
      </c>
    </row>
    <row r="27" spans="1:16" x14ac:dyDescent="0.35">
      <c r="A27" s="2" t="s">
        <v>60</v>
      </c>
      <c r="H27" s="2" t="s">
        <v>61</v>
      </c>
      <c r="P27" s="85">
        <f>K26*1.22</f>
        <v>390252.55079999991</v>
      </c>
    </row>
    <row r="28" spans="1:16" x14ac:dyDescent="0.35">
      <c r="A28" s="8"/>
      <c r="B28" s="9"/>
      <c r="C28" s="8"/>
      <c r="D28" s="8"/>
      <c r="E28" s="8"/>
      <c r="F28" s="8"/>
      <c r="G28" s="8"/>
      <c r="H28" s="8"/>
      <c r="I28" s="10"/>
      <c r="J28" s="11"/>
      <c r="L28" s="11"/>
      <c r="P28" s="85">
        <f>M26*1.22</f>
        <v>1495968.1114000001</v>
      </c>
    </row>
  </sheetData>
  <mergeCells count="21">
    <mergeCell ref="J12:K12"/>
    <mergeCell ref="L1:M1"/>
    <mergeCell ref="L12:M12"/>
    <mergeCell ref="J1:K1"/>
    <mergeCell ref="I3:K3"/>
    <mergeCell ref="A11:I11"/>
    <mergeCell ref="A12:A13"/>
    <mergeCell ref="B12:B13"/>
    <mergeCell ref="C12:C13"/>
    <mergeCell ref="E12:F12"/>
    <mergeCell ref="G12:H12"/>
    <mergeCell ref="I12:I13"/>
    <mergeCell ref="I2:K2"/>
    <mergeCell ref="A17:I17"/>
    <mergeCell ref="A15:I15"/>
    <mergeCell ref="A9:I9"/>
    <mergeCell ref="A16:I16"/>
    <mergeCell ref="A7:I7"/>
    <mergeCell ref="D12:D13"/>
    <mergeCell ref="A10:I10"/>
    <mergeCell ref="A8:I8"/>
  </mergeCells>
  <phoneticPr fontId="0" type="noConversion"/>
  <pageMargins left="0.2" right="0.2" top="0.23" bottom="0.2" header="0.2" footer="0.2"/>
  <pageSetup paperSize="9" scale="64" orientation="landscape" verticalDpi="144" r:id="rId1"/>
  <headerFooter alignWithMargins="0"/>
  <colBreaks count="1" manualBreakCount="1">
    <brk id="14" max="38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view="pageBreakPreview" topLeftCell="A7" zoomScale="60" workbookViewId="0">
      <selection activeCell="G14" sqref="G14"/>
    </sheetView>
  </sheetViews>
  <sheetFormatPr defaultColWidth="9.109375" defaultRowHeight="18" x14ac:dyDescent="0.35"/>
  <cols>
    <col min="1" max="1" width="4.44140625" style="19" customWidth="1"/>
    <col min="2" max="2" width="23.33203125" style="19" customWidth="1"/>
    <col min="3" max="3" width="9" style="19" customWidth="1"/>
    <col min="4" max="4" width="35.5546875" style="19" customWidth="1"/>
    <col min="5" max="5" width="13.109375" style="19" customWidth="1"/>
    <col min="6" max="6" width="13" style="19" customWidth="1"/>
    <col min="7" max="7" width="14.109375" style="19" customWidth="1"/>
    <col min="8" max="8" width="29.44140625" style="19" customWidth="1"/>
    <col min="9" max="9" width="13.44140625" style="19" customWidth="1"/>
    <col min="10" max="16384" width="9.109375" style="19"/>
  </cols>
  <sheetData>
    <row r="1" spans="1:9" x14ac:dyDescent="0.35">
      <c r="A1" s="19" t="s">
        <v>47</v>
      </c>
      <c r="F1" s="133" t="s">
        <v>30</v>
      </c>
      <c r="G1" s="133"/>
      <c r="H1" s="133"/>
    </row>
    <row r="2" spans="1:9" ht="24.75" customHeight="1" x14ac:dyDescent="0.35">
      <c r="A2" s="19" t="s">
        <v>48</v>
      </c>
      <c r="E2" s="136"/>
      <c r="F2" s="137"/>
      <c r="G2" s="137"/>
      <c r="H2" s="137"/>
    </row>
    <row r="3" spans="1:9" hidden="1" x14ac:dyDescent="0.35">
      <c r="E3" s="137"/>
      <c r="F3" s="137"/>
      <c r="G3" s="137"/>
      <c r="H3" s="137"/>
    </row>
    <row r="4" spans="1:9" ht="24" customHeight="1" x14ac:dyDescent="0.35">
      <c r="E4" s="134"/>
      <c r="F4" s="135"/>
      <c r="G4" s="135"/>
      <c r="H4" s="135"/>
    </row>
    <row r="5" spans="1:9" x14ac:dyDescent="0.35">
      <c r="F5" s="154" t="s">
        <v>17</v>
      </c>
      <c r="G5" s="154"/>
      <c r="H5" s="154"/>
    </row>
    <row r="6" spans="1:9" x14ac:dyDescent="0.35">
      <c r="F6" s="154" t="s">
        <v>52</v>
      </c>
      <c r="G6" s="154"/>
      <c r="H6" s="154"/>
    </row>
    <row r="7" spans="1:9" x14ac:dyDescent="0.35">
      <c r="F7" s="17"/>
      <c r="G7" s="17"/>
      <c r="H7" s="17"/>
    </row>
    <row r="8" spans="1:9" x14ac:dyDescent="0.35">
      <c r="A8" s="155" t="s">
        <v>18</v>
      </c>
      <c r="B8" s="155"/>
      <c r="C8" s="155"/>
      <c r="D8" s="155"/>
      <c r="E8" s="155"/>
      <c r="F8" s="155"/>
      <c r="G8" s="155"/>
      <c r="H8" s="155"/>
    </row>
    <row r="9" spans="1:9" x14ac:dyDescent="0.35">
      <c r="A9" s="162" t="s">
        <v>74</v>
      </c>
      <c r="B9" s="162"/>
      <c r="C9" s="162"/>
      <c r="D9" s="162"/>
      <c r="E9" s="162"/>
      <c r="F9" s="162"/>
      <c r="G9" s="162"/>
      <c r="H9" s="162"/>
    </row>
    <row r="10" spans="1:9" s="55" customFormat="1" ht="15.6" x14ac:dyDescent="0.3">
      <c r="A10" s="163" t="s">
        <v>19</v>
      </c>
      <c r="B10" s="163"/>
      <c r="C10" s="163"/>
      <c r="D10" s="163"/>
      <c r="E10" s="163"/>
      <c r="F10" s="163"/>
      <c r="G10" s="163"/>
      <c r="H10" s="163"/>
      <c r="I10" s="54"/>
    </row>
    <row r="11" spans="1:9" ht="63" customHeight="1" x14ac:dyDescent="0.35">
      <c r="A11" s="21" t="s">
        <v>20</v>
      </c>
      <c r="B11" s="164" t="s">
        <v>21</v>
      </c>
      <c r="C11" s="165"/>
      <c r="D11" s="166"/>
      <c r="E11" s="21" t="s">
        <v>22</v>
      </c>
      <c r="F11" s="21" t="s">
        <v>23</v>
      </c>
      <c r="G11" s="21" t="s">
        <v>24</v>
      </c>
      <c r="H11" s="21" t="s">
        <v>25</v>
      </c>
    </row>
    <row r="12" spans="1:9" x14ac:dyDescent="0.35">
      <c r="A12" s="138" t="s">
        <v>78</v>
      </c>
      <c r="B12" s="139"/>
      <c r="C12" s="139"/>
      <c r="D12" s="139"/>
      <c r="E12" s="139"/>
      <c r="F12" s="139"/>
      <c r="G12" s="139"/>
      <c r="H12" s="140"/>
    </row>
    <row r="13" spans="1:9" x14ac:dyDescent="0.35">
      <c r="A13" s="22">
        <v>1</v>
      </c>
      <c r="B13" s="147" t="s">
        <v>133</v>
      </c>
      <c r="C13" s="148"/>
      <c r="D13" s="149"/>
      <c r="E13" s="22" t="s">
        <v>66</v>
      </c>
      <c r="F13" s="63">
        <v>1</v>
      </c>
      <c r="G13" s="63">
        <v>93556.05</v>
      </c>
      <c r="H13" s="22">
        <f>(F13*G13)</f>
        <v>93556.05</v>
      </c>
    </row>
    <row r="14" spans="1:9" x14ac:dyDescent="0.35">
      <c r="A14" s="22">
        <v>2</v>
      </c>
      <c r="B14" s="147" t="s">
        <v>134</v>
      </c>
      <c r="C14" s="148"/>
      <c r="D14" s="149"/>
      <c r="E14" s="22" t="s">
        <v>66</v>
      </c>
      <c r="F14" s="63">
        <v>1</v>
      </c>
      <c r="G14" s="22">
        <v>54663.46</v>
      </c>
      <c r="H14" s="22">
        <f>+(F14*G14)</f>
        <v>54663.46</v>
      </c>
    </row>
    <row r="15" spans="1:9" x14ac:dyDescent="0.35">
      <c r="A15" s="22"/>
      <c r="B15" s="147" t="s">
        <v>136</v>
      </c>
      <c r="C15" s="148"/>
      <c r="D15" s="149"/>
      <c r="E15" s="22" t="s">
        <v>66</v>
      </c>
      <c r="F15" s="63">
        <v>2</v>
      </c>
      <c r="G15" s="22">
        <v>26730.3</v>
      </c>
      <c r="H15" s="22">
        <f t="shared" ref="H15:H18" si="0">+(F15*G15)</f>
        <v>53460.6</v>
      </c>
    </row>
    <row r="16" spans="1:9" x14ac:dyDescent="0.35">
      <c r="A16" s="22"/>
      <c r="B16" s="147" t="s">
        <v>135</v>
      </c>
      <c r="C16" s="148"/>
      <c r="D16" s="149"/>
      <c r="E16" s="22" t="s">
        <v>66</v>
      </c>
      <c r="F16" s="63">
        <v>1</v>
      </c>
      <c r="G16" s="22">
        <v>26730.3</v>
      </c>
      <c r="H16" s="22">
        <f t="shared" si="0"/>
        <v>26730.3</v>
      </c>
    </row>
    <row r="17" spans="1:8" x14ac:dyDescent="0.35">
      <c r="A17" s="22"/>
      <c r="B17" s="147" t="s">
        <v>137</v>
      </c>
      <c r="C17" s="148"/>
      <c r="D17" s="149"/>
      <c r="E17" s="22" t="s">
        <v>66</v>
      </c>
      <c r="F17" s="63">
        <v>1</v>
      </c>
      <c r="G17" s="22">
        <v>26730.3</v>
      </c>
      <c r="H17" s="22">
        <f t="shared" si="0"/>
        <v>26730.3</v>
      </c>
    </row>
    <row r="18" spans="1:8" x14ac:dyDescent="0.35">
      <c r="A18" s="22"/>
      <c r="B18" s="147" t="s">
        <v>135</v>
      </c>
      <c r="C18" s="148"/>
      <c r="D18" s="149"/>
      <c r="E18" s="22" t="s">
        <v>66</v>
      </c>
      <c r="F18" s="63">
        <v>2</v>
      </c>
      <c r="G18" s="22">
        <v>1000</v>
      </c>
      <c r="H18" s="22">
        <f t="shared" si="0"/>
        <v>2000</v>
      </c>
    </row>
    <row r="19" spans="1:8" s="64" customFormat="1" ht="17.399999999999999" x14ac:dyDescent="0.3">
      <c r="A19" s="24"/>
      <c r="B19" s="138" t="s">
        <v>26</v>
      </c>
      <c r="C19" s="139"/>
      <c r="D19" s="140"/>
      <c r="E19" s="24"/>
      <c r="F19" s="24"/>
      <c r="G19" s="24"/>
      <c r="H19" s="24">
        <f>SUM(H13:H18)</f>
        <v>257140.71</v>
      </c>
    </row>
    <row r="20" spans="1:8" ht="18.75" customHeight="1" x14ac:dyDescent="0.35">
      <c r="A20" s="138" t="s">
        <v>27</v>
      </c>
      <c r="B20" s="139"/>
      <c r="C20" s="139"/>
      <c r="D20" s="139"/>
      <c r="E20" s="139"/>
      <c r="F20" s="139"/>
      <c r="G20" s="139"/>
      <c r="H20" s="140"/>
    </row>
    <row r="21" spans="1:8" ht="37.5" customHeight="1" x14ac:dyDescent="0.35">
      <c r="A21" s="22"/>
      <c r="B21" s="144" t="s">
        <v>107</v>
      </c>
      <c r="C21" s="145"/>
      <c r="D21" s="146"/>
      <c r="E21" s="22" t="s">
        <v>49</v>
      </c>
      <c r="F21" s="75">
        <v>4</v>
      </c>
      <c r="G21" s="74">
        <v>6698.88</v>
      </c>
      <c r="H21" s="65">
        <f t="shared" ref="H21:H27" si="1">(F21*G21)</f>
        <v>26795.52</v>
      </c>
    </row>
    <row r="22" spans="1:8" ht="41.25" customHeight="1" x14ac:dyDescent="0.35">
      <c r="A22" s="22"/>
      <c r="B22" s="144" t="s">
        <v>108</v>
      </c>
      <c r="C22" s="145"/>
      <c r="D22" s="146"/>
      <c r="E22" s="22" t="s">
        <v>49</v>
      </c>
      <c r="F22" s="75">
        <v>2</v>
      </c>
      <c r="G22" s="74">
        <v>6698.88</v>
      </c>
      <c r="H22" s="65">
        <f t="shared" si="1"/>
        <v>13397.76</v>
      </c>
    </row>
    <row r="23" spans="1:8" ht="38.25" customHeight="1" x14ac:dyDescent="0.35">
      <c r="A23" s="22"/>
      <c r="B23" s="144" t="s">
        <v>109</v>
      </c>
      <c r="C23" s="145"/>
      <c r="D23" s="146"/>
      <c r="E23" s="22" t="s">
        <v>49</v>
      </c>
      <c r="F23" s="75">
        <v>2</v>
      </c>
      <c r="G23" s="74">
        <v>10033.92</v>
      </c>
      <c r="H23" s="65">
        <f t="shared" si="1"/>
        <v>20067.84</v>
      </c>
    </row>
    <row r="24" spans="1:8" x14ac:dyDescent="0.35">
      <c r="A24" s="22"/>
      <c r="B24" s="112"/>
      <c r="C24" s="113"/>
      <c r="D24" s="114"/>
      <c r="E24" s="22"/>
      <c r="F24" s="22"/>
      <c r="G24" s="22"/>
      <c r="H24" s="65"/>
    </row>
    <row r="25" spans="1:8" ht="45" customHeight="1" x14ac:dyDescent="0.35">
      <c r="A25" s="22"/>
      <c r="B25" s="141" t="s">
        <v>117</v>
      </c>
      <c r="C25" s="142"/>
      <c r="D25" s="143"/>
      <c r="E25" s="22" t="s">
        <v>49</v>
      </c>
      <c r="F25" s="75">
        <v>4</v>
      </c>
      <c r="G25" s="74">
        <v>6698.88</v>
      </c>
      <c r="H25" s="65">
        <f t="shared" si="1"/>
        <v>26795.52</v>
      </c>
    </row>
    <row r="26" spans="1:8" ht="42" customHeight="1" x14ac:dyDescent="0.35">
      <c r="A26" s="22"/>
      <c r="B26" s="141" t="s">
        <v>118</v>
      </c>
      <c r="C26" s="142"/>
      <c r="D26" s="143"/>
      <c r="E26" s="22" t="s">
        <v>49</v>
      </c>
      <c r="F26" s="75">
        <v>2</v>
      </c>
      <c r="G26" s="74">
        <v>10033.92</v>
      </c>
      <c r="H26" s="65">
        <f t="shared" si="1"/>
        <v>20067.84</v>
      </c>
    </row>
    <row r="27" spans="1:8" ht="31.5" customHeight="1" x14ac:dyDescent="0.35">
      <c r="A27" s="22"/>
      <c r="B27" s="141" t="s">
        <v>119</v>
      </c>
      <c r="C27" s="142"/>
      <c r="D27" s="143"/>
      <c r="E27" s="22" t="s">
        <v>49</v>
      </c>
      <c r="F27" s="75">
        <v>4</v>
      </c>
      <c r="G27" s="74">
        <v>13167.36</v>
      </c>
      <c r="H27" s="65">
        <f t="shared" si="1"/>
        <v>52669.440000000002</v>
      </c>
    </row>
    <row r="28" spans="1:8" x14ac:dyDescent="0.35">
      <c r="A28" s="22"/>
      <c r="B28" s="104"/>
      <c r="C28" s="105"/>
      <c r="D28" s="106"/>
      <c r="E28" s="22"/>
      <c r="F28" s="22"/>
      <c r="G28" s="22"/>
      <c r="H28" s="65"/>
    </row>
    <row r="29" spans="1:8" x14ac:dyDescent="0.35">
      <c r="A29" s="22">
        <v>5</v>
      </c>
      <c r="B29" s="147" t="s">
        <v>127</v>
      </c>
      <c r="C29" s="148"/>
      <c r="D29" s="149"/>
      <c r="E29" s="22" t="s">
        <v>49</v>
      </c>
      <c r="F29" s="22">
        <v>1</v>
      </c>
      <c r="G29" s="22">
        <v>1337.5</v>
      </c>
      <c r="H29" s="65">
        <f t="shared" ref="H29" si="2">(F29*G29)</f>
        <v>1337.5</v>
      </c>
    </row>
    <row r="30" spans="1:8" ht="37.5" customHeight="1" x14ac:dyDescent="0.35">
      <c r="A30" s="22">
        <v>3</v>
      </c>
      <c r="B30" s="141" t="s">
        <v>80</v>
      </c>
      <c r="C30" s="142"/>
      <c r="D30" s="143"/>
      <c r="E30" s="22" t="s">
        <v>49</v>
      </c>
      <c r="F30" s="22">
        <v>1</v>
      </c>
      <c r="G30" s="22">
        <v>293</v>
      </c>
      <c r="H30" s="65">
        <f>(F30*G30)</f>
        <v>293</v>
      </c>
    </row>
    <row r="31" spans="1:8" ht="37.5" customHeight="1" x14ac:dyDescent="0.35">
      <c r="A31" s="22"/>
      <c r="B31" s="150" t="s">
        <v>81</v>
      </c>
      <c r="C31" s="151"/>
      <c r="D31" s="152"/>
      <c r="E31" s="22" t="s">
        <v>49</v>
      </c>
      <c r="F31" s="22">
        <v>1</v>
      </c>
      <c r="G31" s="65">
        <v>2140</v>
      </c>
      <c r="H31" s="65">
        <f>+(F31*G31)</f>
        <v>2140</v>
      </c>
    </row>
    <row r="32" spans="1:8" s="53" customFormat="1" ht="52.2" customHeight="1" x14ac:dyDescent="0.35">
      <c r="A32" s="65">
        <v>3</v>
      </c>
      <c r="B32" s="150" t="s">
        <v>139</v>
      </c>
      <c r="C32" s="151"/>
      <c r="D32" s="152"/>
      <c r="E32" s="22" t="s">
        <v>49</v>
      </c>
      <c r="F32" s="22">
        <v>5</v>
      </c>
      <c r="G32" s="65">
        <v>474</v>
      </c>
      <c r="H32" s="65">
        <f>+(F32*G32)</f>
        <v>2370</v>
      </c>
    </row>
    <row r="33" spans="1:10" x14ac:dyDescent="0.35">
      <c r="A33" s="24"/>
      <c r="B33" s="138" t="s">
        <v>26</v>
      </c>
      <c r="C33" s="139"/>
      <c r="D33" s="140"/>
      <c r="E33" s="24"/>
      <c r="F33" s="24"/>
      <c r="G33" s="24"/>
      <c r="H33" s="66">
        <f>SUM(H21:H32)</f>
        <v>165934.41999999998</v>
      </c>
    </row>
    <row r="34" spans="1:10" x14ac:dyDescent="0.35">
      <c r="A34" s="138" t="s">
        <v>63</v>
      </c>
      <c r="B34" s="139"/>
      <c r="C34" s="139"/>
      <c r="D34" s="139"/>
      <c r="E34" s="139"/>
      <c r="F34" s="139"/>
      <c r="G34" s="139"/>
      <c r="H34" s="140"/>
    </row>
    <row r="35" spans="1:10" ht="33" customHeight="1" x14ac:dyDescent="0.35">
      <c r="A35" s="22">
        <v>1</v>
      </c>
      <c r="B35" s="156" t="s">
        <v>79</v>
      </c>
      <c r="C35" s="157"/>
      <c r="D35" s="158"/>
      <c r="E35" s="22" t="s">
        <v>66</v>
      </c>
      <c r="F35" s="22">
        <v>12</v>
      </c>
      <c r="G35" s="22">
        <v>81</v>
      </c>
      <c r="H35" s="67">
        <f>(F35*G35)</f>
        <v>972</v>
      </c>
    </row>
    <row r="36" spans="1:10" x14ac:dyDescent="0.35">
      <c r="A36" s="68">
        <v>2</v>
      </c>
      <c r="B36" s="159"/>
      <c r="C36" s="160"/>
      <c r="D36" s="161"/>
      <c r="E36" s="68" t="s">
        <v>66</v>
      </c>
      <c r="F36" s="68"/>
      <c r="G36" s="68"/>
      <c r="H36" s="68"/>
    </row>
    <row r="37" spans="1:10" x14ac:dyDescent="0.35">
      <c r="A37" s="24"/>
      <c r="B37" s="138" t="s">
        <v>26</v>
      </c>
      <c r="C37" s="139"/>
      <c r="D37" s="140"/>
      <c r="E37" s="24"/>
      <c r="F37" s="24"/>
      <c r="G37" s="24"/>
      <c r="H37" s="66">
        <f>SUM(H35:H36)</f>
        <v>972</v>
      </c>
    </row>
    <row r="38" spans="1:10" s="64" customFormat="1" ht="17.399999999999999" x14ac:dyDescent="0.3">
      <c r="A38" s="69"/>
      <c r="B38" s="153" t="s">
        <v>28</v>
      </c>
      <c r="C38" s="153"/>
      <c r="D38" s="153"/>
      <c r="E38" s="69"/>
      <c r="F38" s="69"/>
      <c r="G38" s="69"/>
      <c r="H38" s="66">
        <f>H19+H33+H37</f>
        <v>424047.13</v>
      </c>
    </row>
    <row r="39" spans="1:10" x14ac:dyDescent="0.35">
      <c r="A39" s="25"/>
      <c r="B39" s="17" t="s">
        <v>29</v>
      </c>
      <c r="C39" s="17"/>
      <c r="D39" s="17"/>
      <c r="E39" s="26"/>
      <c r="F39" s="26"/>
      <c r="G39" s="26"/>
      <c r="H39" s="26"/>
    </row>
    <row r="40" spans="1:10" s="2" customFormat="1" x14ac:dyDescent="0.35">
      <c r="A40" s="2" t="s">
        <v>51</v>
      </c>
      <c r="H40" s="2" t="s">
        <v>53</v>
      </c>
    </row>
    <row r="41" spans="1:10" s="2" customFormat="1" x14ac:dyDescent="0.35">
      <c r="A41" s="8"/>
      <c r="B41" s="9"/>
      <c r="C41" s="8"/>
      <c r="D41" s="8"/>
      <c r="E41" s="8"/>
      <c r="F41" s="8"/>
      <c r="G41" s="8"/>
      <c r="H41" s="8"/>
      <c r="I41" s="10"/>
      <c r="J41" s="11"/>
    </row>
    <row r="42" spans="1:10" s="2" customFormat="1" x14ac:dyDescent="0.35"/>
    <row r="43" spans="1:10" s="2" customFormat="1" ht="21" customHeight="1" x14ac:dyDescent="0.35">
      <c r="A43" s="2" t="s">
        <v>75</v>
      </c>
      <c r="H43" s="2" t="s">
        <v>76</v>
      </c>
    </row>
    <row r="44" spans="1:10" s="2" customFormat="1" x14ac:dyDescent="0.35"/>
    <row r="45" spans="1:10" s="2" customFormat="1" x14ac:dyDescent="0.35">
      <c r="A45" s="8"/>
      <c r="B45" s="9"/>
      <c r="C45" s="8"/>
      <c r="D45" s="8"/>
      <c r="E45" s="8"/>
      <c r="F45" s="8"/>
      <c r="G45" s="8"/>
      <c r="H45" s="8"/>
      <c r="I45" s="10"/>
      <c r="J45" s="11"/>
    </row>
    <row r="46" spans="1:10" s="2" customFormat="1" x14ac:dyDescent="0.35"/>
    <row r="47" spans="1:10" s="2" customFormat="1" ht="21" customHeight="1" x14ac:dyDescent="0.35">
      <c r="A47" s="2" t="s">
        <v>31</v>
      </c>
    </row>
    <row r="48" spans="1:10" s="2" customFormat="1" x14ac:dyDescent="0.35"/>
  </sheetData>
  <mergeCells count="34">
    <mergeCell ref="B38:D38"/>
    <mergeCell ref="F5:H5"/>
    <mergeCell ref="F6:H6"/>
    <mergeCell ref="B32:D32"/>
    <mergeCell ref="B13:D13"/>
    <mergeCell ref="B14:D14"/>
    <mergeCell ref="A8:H8"/>
    <mergeCell ref="B35:D35"/>
    <mergeCell ref="B36:D36"/>
    <mergeCell ref="A9:H9"/>
    <mergeCell ref="A10:H10"/>
    <mergeCell ref="B11:D11"/>
    <mergeCell ref="A12:H12"/>
    <mergeCell ref="A20:H20"/>
    <mergeCell ref="B33:D33"/>
    <mergeCell ref="A34:H34"/>
    <mergeCell ref="B37:D37"/>
    <mergeCell ref="B21:D21"/>
    <mergeCell ref="B30:D30"/>
    <mergeCell ref="B27:D27"/>
    <mergeCell ref="B29:D29"/>
    <mergeCell ref="B31:D31"/>
    <mergeCell ref="F1:H1"/>
    <mergeCell ref="E4:H4"/>
    <mergeCell ref="E2:H3"/>
    <mergeCell ref="B19:D19"/>
    <mergeCell ref="B26:D26"/>
    <mergeCell ref="B25:D25"/>
    <mergeCell ref="B23:D23"/>
    <mergeCell ref="B22:D22"/>
    <mergeCell ref="B18:D18"/>
    <mergeCell ref="B15:D15"/>
    <mergeCell ref="B16:D16"/>
    <mergeCell ref="B17:D17"/>
  </mergeCells>
  <phoneticPr fontId="9" type="noConversion"/>
  <pageMargins left="0.2" right="0.2" top="0.2" bottom="0.2" header="0.2" footer="0.2"/>
  <pageSetup paperSize="9" scale="84" orientation="landscape" verticalDpi="144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view="pageBreakPreview" zoomScale="60" workbookViewId="0">
      <selection activeCell="I13" sqref="I13"/>
    </sheetView>
  </sheetViews>
  <sheetFormatPr defaultColWidth="9.109375" defaultRowHeight="18" x14ac:dyDescent="0.35"/>
  <cols>
    <col min="1" max="1" width="4.44140625" style="19" customWidth="1"/>
    <col min="2" max="2" width="23.44140625" style="19" customWidth="1"/>
    <col min="3" max="3" width="9" style="19" customWidth="1"/>
    <col min="4" max="4" width="30.5546875" style="19" customWidth="1"/>
    <col min="5" max="5" width="10.44140625" style="19" customWidth="1"/>
    <col min="6" max="6" width="6.44140625" style="19" customWidth="1"/>
    <col min="7" max="7" width="15.88671875" style="19" customWidth="1"/>
    <col min="8" max="8" width="13.6640625" style="19" customWidth="1"/>
    <col min="9" max="9" width="24.44140625" style="19" customWidth="1"/>
    <col min="10" max="16384" width="9.109375" style="19"/>
  </cols>
  <sheetData>
    <row r="1" spans="1:9" x14ac:dyDescent="0.35">
      <c r="A1" s="19" t="s">
        <v>47</v>
      </c>
      <c r="F1" s="133" t="s">
        <v>41</v>
      </c>
      <c r="G1" s="133"/>
      <c r="H1" s="133"/>
      <c r="I1" s="133"/>
    </row>
    <row r="2" spans="1:9" x14ac:dyDescent="0.35">
      <c r="A2" s="19" t="s">
        <v>48</v>
      </c>
      <c r="E2" s="133" t="s">
        <v>64</v>
      </c>
      <c r="F2" s="135"/>
      <c r="G2" s="135"/>
      <c r="H2" s="135"/>
      <c r="I2" s="135"/>
    </row>
    <row r="3" spans="1:9" x14ac:dyDescent="0.35">
      <c r="E3" s="133"/>
      <c r="F3" s="135"/>
      <c r="G3" s="135"/>
      <c r="H3" s="135"/>
      <c r="I3" s="135"/>
    </row>
    <row r="4" spans="1:9" x14ac:dyDescent="0.35">
      <c r="F4" s="169" t="s">
        <v>32</v>
      </c>
      <c r="G4" s="169"/>
      <c r="H4" s="169"/>
      <c r="I4" s="169"/>
    </row>
    <row r="5" spans="1:9" x14ac:dyDescent="0.35">
      <c r="F5" s="154" t="s">
        <v>54</v>
      </c>
      <c r="G5" s="154"/>
      <c r="H5" s="154"/>
      <c r="I5" s="154"/>
    </row>
    <row r="6" spans="1:9" x14ac:dyDescent="0.35">
      <c r="F6" s="17"/>
      <c r="G6" s="17"/>
      <c r="H6" s="17"/>
    </row>
    <row r="7" spans="1:9" x14ac:dyDescent="0.35">
      <c r="A7" s="155" t="s">
        <v>18</v>
      </c>
      <c r="B7" s="155"/>
      <c r="C7" s="155"/>
      <c r="D7" s="155"/>
      <c r="E7" s="155"/>
      <c r="F7" s="155"/>
      <c r="G7" s="155"/>
      <c r="H7" s="155"/>
      <c r="I7" s="155"/>
    </row>
    <row r="8" spans="1:9" x14ac:dyDescent="0.35">
      <c r="A8" s="162" t="s">
        <v>74</v>
      </c>
      <c r="B8" s="162"/>
      <c r="C8" s="162"/>
      <c r="D8" s="162"/>
      <c r="E8" s="162"/>
      <c r="F8" s="162"/>
      <c r="G8" s="162"/>
      <c r="H8" s="162"/>
      <c r="I8" s="162"/>
    </row>
    <row r="9" spans="1:9" x14ac:dyDescent="0.35">
      <c r="A9" s="169" t="s">
        <v>40</v>
      </c>
      <c r="B9" s="169"/>
      <c r="C9" s="169"/>
      <c r="D9" s="169"/>
      <c r="E9" s="169"/>
      <c r="F9" s="169"/>
      <c r="G9" s="169"/>
      <c r="H9" s="169"/>
    </row>
    <row r="10" spans="1:9" ht="79.5" customHeight="1" x14ac:dyDescent="0.35">
      <c r="A10" s="21" t="s">
        <v>20</v>
      </c>
      <c r="B10" s="21" t="s">
        <v>33</v>
      </c>
      <c r="C10" s="170" t="s">
        <v>34</v>
      </c>
      <c r="D10" s="170"/>
      <c r="E10" s="170" t="s">
        <v>35</v>
      </c>
      <c r="F10" s="170"/>
      <c r="G10" s="21" t="s">
        <v>36</v>
      </c>
      <c r="H10" s="21" t="s">
        <v>37</v>
      </c>
      <c r="I10" s="21" t="s">
        <v>38</v>
      </c>
    </row>
    <row r="11" spans="1:9" ht="39" customHeight="1" x14ac:dyDescent="0.35">
      <c r="A11" s="23">
        <v>1</v>
      </c>
      <c r="B11" s="108" t="s">
        <v>129</v>
      </c>
      <c r="C11" s="167" t="s">
        <v>56</v>
      </c>
      <c r="D11" s="167"/>
      <c r="E11" s="168">
        <v>2</v>
      </c>
      <c r="F11" s="168"/>
      <c r="G11" s="23">
        <v>5</v>
      </c>
      <c r="H11" s="23">
        <v>10</v>
      </c>
      <c r="I11" s="22">
        <v>112077.33</v>
      </c>
    </row>
    <row r="12" spans="1:9" ht="39" customHeight="1" x14ac:dyDescent="0.35">
      <c r="A12" s="108"/>
      <c r="B12" s="108" t="s">
        <v>130</v>
      </c>
      <c r="C12" s="167" t="s">
        <v>56</v>
      </c>
      <c r="D12" s="167"/>
      <c r="E12" s="168">
        <v>1</v>
      </c>
      <c r="F12" s="168"/>
      <c r="G12" s="108">
        <v>5</v>
      </c>
      <c r="H12" s="108">
        <v>5</v>
      </c>
      <c r="I12" s="22">
        <v>26695.040000000001</v>
      </c>
    </row>
    <row r="13" spans="1:9" ht="37.5" customHeight="1" x14ac:dyDescent="0.35">
      <c r="A13" s="23">
        <v>2</v>
      </c>
      <c r="B13" s="108" t="s">
        <v>131</v>
      </c>
      <c r="C13" s="167" t="s">
        <v>56</v>
      </c>
      <c r="D13" s="167"/>
      <c r="E13" s="168">
        <v>1</v>
      </c>
      <c r="F13" s="168"/>
      <c r="G13" s="23">
        <v>5</v>
      </c>
      <c r="H13" s="23">
        <v>5</v>
      </c>
      <c r="I13" s="22">
        <v>34019.82</v>
      </c>
    </row>
    <row r="14" spans="1:9" ht="45" customHeight="1" x14ac:dyDescent="0.35">
      <c r="A14" s="23">
        <v>3</v>
      </c>
      <c r="B14" s="107" t="s">
        <v>132</v>
      </c>
      <c r="C14" s="167" t="s">
        <v>56</v>
      </c>
      <c r="D14" s="167"/>
      <c r="E14" s="168">
        <v>2</v>
      </c>
      <c r="F14" s="168"/>
      <c r="G14" s="23">
        <v>5</v>
      </c>
      <c r="H14" s="23">
        <v>10</v>
      </c>
      <c r="I14" s="22">
        <v>6536.84</v>
      </c>
    </row>
    <row r="15" spans="1:9" x14ac:dyDescent="0.35">
      <c r="A15" s="138" t="s">
        <v>39</v>
      </c>
      <c r="B15" s="139"/>
      <c r="C15" s="139"/>
      <c r="D15" s="139"/>
      <c r="E15" s="139"/>
      <c r="F15" s="139"/>
      <c r="G15" s="139"/>
      <c r="H15" s="140"/>
      <c r="I15" s="24">
        <f>SUM(I11:I14)</f>
        <v>179329.03</v>
      </c>
    </row>
    <row r="16" spans="1:9" x14ac:dyDescent="0.35">
      <c r="A16" s="27"/>
      <c r="B16" s="27"/>
      <c r="C16" s="27"/>
      <c r="D16" s="27"/>
      <c r="E16" s="27"/>
      <c r="F16" s="27"/>
      <c r="G16" s="27"/>
      <c r="H16" s="27"/>
      <c r="I16" s="26"/>
    </row>
    <row r="17" spans="1:10" s="2" customFormat="1" x14ac:dyDescent="0.35">
      <c r="A17" s="2" t="s">
        <v>51</v>
      </c>
      <c r="H17" s="2" t="s">
        <v>50</v>
      </c>
    </row>
    <row r="18" spans="1:10" s="2" customFormat="1" x14ac:dyDescent="0.35">
      <c r="A18" s="8"/>
      <c r="B18" s="9"/>
      <c r="C18" s="8"/>
      <c r="D18" s="8"/>
      <c r="E18" s="8"/>
      <c r="F18" s="8"/>
      <c r="G18" s="8"/>
      <c r="H18" s="8"/>
      <c r="I18" s="10"/>
      <c r="J18" s="11"/>
    </row>
    <row r="19" spans="1:10" s="2" customFormat="1" x14ac:dyDescent="0.35"/>
    <row r="20" spans="1:10" s="2" customFormat="1" x14ac:dyDescent="0.35">
      <c r="A20" s="2" t="s">
        <v>75</v>
      </c>
      <c r="H20" s="2" t="s">
        <v>76</v>
      </c>
    </row>
  </sheetData>
  <mergeCells count="19">
    <mergeCell ref="F1:I1"/>
    <mergeCell ref="E2:I2"/>
    <mergeCell ref="E3:I3"/>
    <mergeCell ref="C14:D14"/>
    <mergeCell ref="E14:F14"/>
    <mergeCell ref="A8:I8"/>
    <mergeCell ref="A9:H9"/>
    <mergeCell ref="C10:D10"/>
    <mergeCell ref="E10:F10"/>
    <mergeCell ref="F4:I4"/>
    <mergeCell ref="F5:I5"/>
    <mergeCell ref="A7:I7"/>
    <mergeCell ref="C12:D12"/>
    <mergeCell ref="E12:F12"/>
    <mergeCell ref="A15:H15"/>
    <mergeCell ref="C11:D11"/>
    <mergeCell ref="E11:F11"/>
    <mergeCell ref="C13:D13"/>
    <mergeCell ref="E13:F13"/>
  </mergeCells>
  <phoneticPr fontId="9" type="noConversion"/>
  <pageMargins left="0.2" right="0.2" top="0.2" bottom="0.2" header="0.2" footer="0.2"/>
  <pageSetup paperSize="9" orientation="landscape" verticalDpi="144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7" zoomScale="69" zoomScaleNormal="69" zoomScaleSheetLayoutView="100" workbookViewId="0">
      <selection activeCell="E16" sqref="E16:E17"/>
    </sheetView>
  </sheetViews>
  <sheetFormatPr defaultColWidth="9.109375" defaultRowHeight="18" x14ac:dyDescent="0.35"/>
  <cols>
    <col min="1" max="1" width="4.44140625" style="28" customWidth="1"/>
    <col min="2" max="2" width="48" style="28" customWidth="1"/>
    <col min="3" max="3" width="12.109375" style="28" customWidth="1"/>
    <col min="4" max="4" width="9.5546875" style="28" customWidth="1"/>
    <col min="5" max="5" width="12.44140625" style="28" customWidth="1"/>
    <col min="6" max="6" width="15.33203125" style="28" customWidth="1"/>
    <col min="7" max="7" width="42" style="28" customWidth="1"/>
    <col min="8" max="16384" width="9.109375" style="28"/>
  </cols>
  <sheetData>
    <row r="1" spans="1:10" x14ac:dyDescent="0.35">
      <c r="A1" s="19" t="s">
        <v>47</v>
      </c>
      <c r="D1" s="174" t="s">
        <v>58</v>
      </c>
      <c r="E1" s="174"/>
      <c r="F1" s="174"/>
      <c r="G1" s="174"/>
    </row>
    <row r="2" spans="1:10" x14ac:dyDescent="0.35">
      <c r="A2" s="28" t="s">
        <v>48</v>
      </c>
      <c r="C2" s="39"/>
      <c r="D2" s="38"/>
      <c r="E2" s="40" t="s">
        <v>57</v>
      </c>
      <c r="F2" s="38"/>
      <c r="G2" s="38"/>
    </row>
    <row r="3" spans="1:10" x14ac:dyDescent="0.35">
      <c r="C3" s="174"/>
      <c r="D3" s="135"/>
      <c r="E3" s="135"/>
      <c r="F3" s="135"/>
      <c r="G3" s="135"/>
    </row>
    <row r="4" spans="1:10" x14ac:dyDescent="0.35">
      <c r="D4" s="169" t="s">
        <v>42</v>
      </c>
      <c r="E4" s="169"/>
      <c r="F4" s="169"/>
      <c r="G4" s="169"/>
    </row>
    <row r="5" spans="1:10" x14ac:dyDescent="0.35">
      <c r="D5" s="154" t="s">
        <v>55</v>
      </c>
      <c r="E5" s="154"/>
      <c r="F5" s="154"/>
      <c r="G5" s="154"/>
    </row>
    <row r="6" spans="1:10" x14ac:dyDescent="0.35">
      <c r="A6" s="172" t="s">
        <v>18</v>
      </c>
      <c r="B6" s="172"/>
      <c r="C6" s="172"/>
      <c r="D6" s="172"/>
      <c r="E6" s="172"/>
      <c r="F6" s="172"/>
    </row>
    <row r="7" spans="1:10" x14ac:dyDescent="0.35">
      <c r="A7" s="172"/>
      <c r="B7" s="172"/>
      <c r="C7" s="172"/>
      <c r="D7" s="172"/>
      <c r="E7" s="172"/>
      <c r="F7" s="172"/>
    </row>
    <row r="8" spans="1:10" x14ac:dyDescent="0.35">
      <c r="A8" s="173" t="s">
        <v>43</v>
      </c>
      <c r="B8" s="173"/>
      <c r="C8" s="173"/>
      <c r="D8" s="173"/>
      <c r="E8" s="173"/>
      <c r="F8" s="173"/>
    </row>
    <row r="9" spans="1:10" s="73" customFormat="1" ht="96.75" customHeight="1" x14ac:dyDescent="0.3">
      <c r="A9" s="70" t="s">
        <v>20</v>
      </c>
      <c r="B9" s="70" t="s">
        <v>21</v>
      </c>
      <c r="C9" s="70" t="s">
        <v>22</v>
      </c>
      <c r="D9" s="70" t="s">
        <v>23</v>
      </c>
      <c r="E9" s="71" t="s">
        <v>24</v>
      </c>
      <c r="F9" s="71" t="s">
        <v>25</v>
      </c>
      <c r="G9" s="70" t="s">
        <v>44</v>
      </c>
      <c r="H9" s="72"/>
    </row>
    <row r="10" spans="1:10" s="73" customFormat="1" ht="16.95" customHeight="1" x14ac:dyDescent="0.3">
      <c r="A10" s="70"/>
      <c r="B10" s="98" t="s">
        <v>62</v>
      </c>
      <c r="C10" s="96"/>
      <c r="D10" s="96"/>
      <c r="E10" s="100"/>
      <c r="F10" s="100"/>
      <c r="G10" s="99"/>
      <c r="H10" s="72"/>
    </row>
    <row r="11" spans="1:10" s="73" customFormat="1" ht="23.4" customHeight="1" x14ac:dyDescent="0.3">
      <c r="A11" s="74">
        <v>1</v>
      </c>
      <c r="B11" s="76" t="s">
        <v>104</v>
      </c>
      <c r="C11" s="75" t="s">
        <v>49</v>
      </c>
      <c r="D11" s="75">
        <v>1</v>
      </c>
      <c r="E11" s="74">
        <v>1616837.76</v>
      </c>
      <c r="F11" s="74">
        <f>E11*D11</f>
        <v>1616837.76</v>
      </c>
      <c r="G11" s="175" t="s">
        <v>106</v>
      </c>
      <c r="H11" s="72"/>
      <c r="I11" s="75"/>
    </row>
    <row r="12" spans="1:10" s="73" customFormat="1" ht="34.799999999999997" customHeight="1" x14ac:dyDescent="0.3">
      <c r="A12" s="74">
        <v>2</v>
      </c>
      <c r="B12" s="76" t="s">
        <v>105</v>
      </c>
      <c r="C12" s="75" t="s">
        <v>49</v>
      </c>
      <c r="D12" s="75">
        <v>2</v>
      </c>
      <c r="E12" s="74">
        <v>311391.35999999999</v>
      </c>
      <c r="F12" s="74">
        <f>E12*D12</f>
        <v>622782.71999999997</v>
      </c>
      <c r="G12" s="176"/>
      <c r="H12" s="72"/>
      <c r="I12" s="97"/>
    </row>
    <row r="13" spans="1:10" s="73" customFormat="1" ht="62.4" x14ac:dyDescent="0.3">
      <c r="A13" s="74">
        <v>6</v>
      </c>
      <c r="B13" s="76" t="s">
        <v>128</v>
      </c>
      <c r="C13" s="75" t="s">
        <v>49</v>
      </c>
      <c r="D13" s="75">
        <v>1</v>
      </c>
      <c r="E13" s="86">
        <v>22999</v>
      </c>
      <c r="F13" s="74">
        <f>E13*D13</f>
        <v>22999</v>
      </c>
      <c r="G13" s="76" t="s">
        <v>77</v>
      </c>
      <c r="H13" s="72"/>
    </row>
    <row r="14" spans="1:10" x14ac:dyDescent="0.35">
      <c r="A14" s="29"/>
      <c r="B14" s="30" t="s">
        <v>110</v>
      </c>
      <c r="C14" s="29"/>
      <c r="D14" s="29"/>
      <c r="E14" s="29"/>
      <c r="F14" s="29">
        <f>SUM(F11:F13)</f>
        <v>2262619.48</v>
      </c>
      <c r="G14" s="35"/>
      <c r="H14" s="77"/>
      <c r="I14" s="31"/>
      <c r="J14" s="31"/>
    </row>
    <row r="15" spans="1:10" x14ac:dyDescent="0.35">
      <c r="A15" s="70"/>
      <c r="B15" s="98" t="s">
        <v>111</v>
      </c>
      <c r="C15" s="96"/>
      <c r="D15" s="96"/>
      <c r="E15" s="100"/>
      <c r="F15" s="100"/>
      <c r="G15" s="99"/>
      <c r="H15" s="77"/>
      <c r="I15" s="103"/>
      <c r="J15" s="103"/>
    </row>
    <row r="16" spans="1:10" ht="46.8" x14ac:dyDescent="0.35">
      <c r="A16" s="74">
        <v>7</v>
      </c>
      <c r="B16" s="76" t="s">
        <v>115</v>
      </c>
      <c r="C16" s="75" t="s">
        <v>49</v>
      </c>
      <c r="D16" s="75">
        <v>1</v>
      </c>
      <c r="E16" s="74">
        <v>801717.12</v>
      </c>
      <c r="F16" s="74">
        <f>E16*D16</f>
        <v>801717.12</v>
      </c>
      <c r="G16" s="76" t="s">
        <v>114</v>
      </c>
      <c r="H16" s="77"/>
      <c r="I16" s="103"/>
      <c r="J16" s="103"/>
    </row>
    <row r="17" spans="1:10" x14ac:dyDescent="0.35">
      <c r="A17" s="74">
        <v>8</v>
      </c>
      <c r="B17" s="76" t="s">
        <v>116</v>
      </c>
      <c r="C17" s="75" t="s">
        <v>49</v>
      </c>
      <c r="D17" s="75">
        <v>1</v>
      </c>
      <c r="E17" s="74">
        <v>304030.08000000002</v>
      </c>
      <c r="F17" s="74">
        <f>E17*D17</f>
        <v>304030.08000000002</v>
      </c>
      <c r="G17" s="76"/>
      <c r="H17" s="77"/>
      <c r="I17" s="103"/>
      <c r="J17" s="103"/>
    </row>
    <row r="18" spans="1:10" x14ac:dyDescent="0.35">
      <c r="A18" s="29"/>
      <c r="B18" s="30" t="s">
        <v>112</v>
      </c>
      <c r="C18" s="29"/>
      <c r="D18" s="29"/>
      <c r="E18" s="29"/>
      <c r="F18" s="29">
        <f>SUM(F16:F17)</f>
        <v>1105747.2</v>
      </c>
      <c r="G18" s="35"/>
      <c r="H18" s="77"/>
      <c r="I18" s="103"/>
      <c r="J18" s="103"/>
    </row>
    <row r="19" spans="1:10" x14ac:dyDescent="0.35">
      <c r="A19" s="29"/>
      <c r="B19" s="30" t="s">
        <v>113</v>
      </c>
      <c r="C19" s="29"/>
      <c r="D19" s="29"/>
      <c r="E19" s="29"/>
      <c r="F19" s="29">
        <f>SUM(F14,F18)</f>
        <v>3368366.6799999997</v>
      </c>
      <c r="G19" s="35"/>
      <c r="H19" s="77"/>
      <c r="I19" s="103"/>
      <c r="J19" s="103"/>
    </row>
    <row r="20" spans="1:10" x14ac:dyDescent="0.35">
      <c r="A20" s="101"/>
      <c r="B20" s="102"/>
      <c r="C20" s="101"/>
      <c r="D20" s="101"/>
      <c r="E20" s="101"/>
      <c r="F20" s="101"/>
      <c r="G20" s="34"/>
      <c r="H20" s="77"/>
      <c r="I20" s="103"/>
      <c r="J20" s="103"/>
    </row>
    <row r="21" spans="1:10" x14ac:dyDescent="0.35">
      <c r="A21" s="101"/>
      <c r="B21" s="102"/>
      <c r="C21" s="101"/>
      <c r="D21" s="101"/>
      <c r="E21" s="101"/>
      <c r="F21" s="101"/>
      <c r="G21" s="34"/>
      <c r="H21" s="77"/>
      <c r="I21" s="103"/>
      <c r="J21" s="103"/>
    </row>
    <row r="22" spans="1:10" x14ac:dyDescent="0.35">
      <c r="A22" s="32"/>
      <c r="B22" s="33" t="s">
        <v>29</v>
      </c>
      <c r="C22" s="34"/>
      <c r="D22" s="34"/>
      <c r="E22" s="34"/>
      <c r="F22" s="34"/>
      <c r="H22" s="77"/>
    </row>
    <row r="23" spans="1:10" s="2" customFormat="1" x14ac:dyDescent="0.35">
      <c r="A23" s="2" t="s">
        <v>51</v>
      </c>
      <c r="E23" s="2" t="s">
        <v>50</v>
      </c>
      <c r="H23" s="56"/>
    </row>
    <row r="24" spans="1:10" s="2" customFormat="1" x14ac:dyDescent="0.35">
      <c r="A24" s="8"/>
      <c r="B24" s="9"/>
      <c r="C24" s="8"/>
      <c r="D24" s="8"/>
      <c r="E24" s="8"/>
      <c r="F24" s="8"/>
      <c r="G24" s="8"/>
      <c r="H24" s="8"/>
      <c r="I24" s="10"/>
      <c r="J24" s="11"/>
    </row>
    <row r="25" spans="1:10" s="2" customFormat="1" x14ac:dyDescent="0.35">
      <c r="H25" s="56"/>
    </row>
    <row r="26" spans="1:10" s="2" customFormat="1" x14ac:dyDescent="0.35">
      <c r="A26" s="2" t="s">
        <v>75</v>
      </c>
      <c r="E26" s="2" t="s">
        <v>76</v>
      </c>
      <c r="H26" s="56"/>
    </row>
    <row r="27" spans="1:10" s="19" customFormat="1" x14ac:dyDescent="0.35">
      <c r="B27" s="20"/>
      <c r="C27" s="171"/>
      <c r="D27" s="171"/>
      <c r="E27" s="171"/>
      <c r="F27" s="20"/>
      <c r="G27" s="20"/>
      <c r="H27" s="57"/>
    </row>
    <row r="28" spans="1:10" x14ac:dyDescent="0.35">
      <c r="H28" s="77"/>
    </row>
    <row r="29" spans="1:10" x14ac:dyDescent="0.35">
      <c r="H29" s="77"/>
    </row>
  </sheetData>
  <mergeCells count="9">
    <mergeCell ref="C27:E27"/>
    <mergeCell ref="A7:F7"/>
    <mergeCell ref="A8:F8"/>
    <mergeCell ref="D1:G1"/>
    <mergeCell ref="C3:G3"/>
    <mergeCell ref="D4:G4"/>
    <mergeCell ref="D5:G5"/>
    <mergeCell ref="A6:F6"/>
    <mergeCell ref="G11:G12"/>
  </mergeCells>
  <phoneticPr fontId="9" type="noConversion"/>
  <pageMargins left="0.2" right="0.2" top="0.2" bottom="0.2" header="0.2" footer="0.2"/>
  <pageSetup paperSize="9" orientation="landscape" verticalDpi="144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D21" sqref="D21"/>
    </sheetView>
  </sheetViews>
  <sheetFormatPr defaultRowHeight="13.2" x14ac:dyDescent="0.25"/>
  <cols>
    <col min="1" max="1" width="62.44140625" customWidth="1"/>
    <col min="2" max="2" width="12.6640625" customWidth="1"/>
    <col min="3" max="3" width="14.44140625" customWidth="1"/>
    <col min="4" max="5" width="10.33203125" customWidth="1"/>
    <col min="6" max="6" width="12.5546875" style="91" customWidth="1"/>
    <col min="7" max="7" width="10.44140625" customWidth="1"/>
    <col min="8" max="8" width="10.33203125" customWidth="1"/>
    <col min="9" max="9" width="10.5546875" customWidth="1"/>
    <col min="10" max="10" width="11.33203125" customWidth="1"/>
    <col min="11" max="12" width="10.5546875" bestFit="1" customWidth="1"/>
  </cols>
  <sheetData>
    <row r="1" spans="1:12" x14ac:dyDescent="0.25">
      <c r="B1" t="s">
        <v>88</v>
      </c>
      <c r="D1" s="90" t="s">
        <v>92</v>
      </c>
      <c r="E1" s="115"/>
      <c r="F1" s="91" t="s">
        <v>102</v>
      </c>
      <c r="G1" t="s">
        <v>93</v>
      </c>
      <c r="H1" t="s">
        <v>94</v>
      </c>
      <c r="I1" t="s">
        <v>95</v>
      </c>
      <c r="J1" t="s">
        <v>96</v>
      </c>
      <c r="K1" t="s">
        <v>103</v>
      </c>
    </row>
    <row r="2" spans="1:12" x14ac:dyDescent="0.25">
      <c r="B2" t="s">
        <v>90</v>
      </c>
      <c r="C2" t="s">
        <v>91</v>
      </c>
      <c r="D2" s="90" t="s">
        <v>91</v>
      </c>
      <c r="E2" s="117" t="s">
        <v>138</v>
      </c>
      <c r="G2" t="s">
        <v>97</v>
      </c>
      <c r="H2" t="s">
        <v>98</v>
      </c>
      <c r="I2" t="s">
        <v>99</v>
      </c>
      <c r="J2" t="s">
        <v>91</v>
      </c>
    </row>
    <row r="3" spans="1:12" x14ac:dyDescent="0.25">
      <c r="D3" s="90"/>
      <c r="E3" s="115"/>
    </row>
    <row r="4" spans="1:12" x14ac:dyDescent="0.25">
      <c r="D4" s="90"/>
      <c r="E4" s="115"/>
    </row>
    <row r="5" spans="1:12" ht="13.8" x14ac:dyDescent="0.25">
      <c r="A5" s="87" t="s">
        <v>82</v>
      </c>
      <c r="D5" s="90"/>
      <c r="E5" s="115"/>
    </row>
    <row r="6" spans="1:12" ht="13.8" x14ac:dyDescent="0.25">
      <c r="A6" s="88" t="s">
        <v>83</v>
      </c>
      <c r="B6" s="93">
        <f>SUM('Проект штатного розпису на 2019'!I26)*1.22*0.5</f>
        <v>65042.091799999995</v>
      </c>
      <c r="C6" s="93">
        <f>SUM('Проект штатного розпису на 2019'!I26)*1.22</f>
        <v>130084.18359999999</v>
      </c>
      <c r="D6" s="94">
        <f>SUM('Проект штатного розпису на 2019'!I26)*1.5*1.22</f>
        <v>195126.27539999995</v>
      </c>
      <c r="E6" s="116">
        <f>SUM(C6:D6)</f>
        <v>325210.45899999992</v>
      </c>
      <c r="F6" s="95">
        <f>SUM(B6:D6)</f>
        <v>390252.55079999997</v>
      </c>
      <c r="G6" s="93">
        <f>SUM('Проект штатного розпису на 2019'!I19:I25)*3*1.22</f>
        <v>390252.55079999991</v>
      </c>
      <c r="H6" s="93">
        <f>SUM('Проект штатного розпису на 2019'!I19:I25)*3*1.22</f>
        <v>390252.55079999991</v>
      </c>
      <c r="I6" s="93">
        <f>SUM('Проект штатного розпису на 2019'!I26)*3*1.22</f>
        <v>390252.55079999991</v>
      </c>
      <c r="J6" s="93">
        <f>SUM('Проект штатного розпису на 2019'!I19:I25)*2.5*1.22</f>
        <v>325210.45899999992</v>
      </c>
      <c r="K6" s="93">
        <f>SUM(G6:J6)</f>
        <v>1495968.1113999998</v>
      </c>
      <c r="L6" s="93">
        <f>SUM(F6,K6)</f>
        <v>1886220.6621999997</v>
      </c>
    </row>
    <row r="7" spans="1:12" ht="19.2" customHeight="1" x14ac:dyDescent="0.25">
      <c r="A7" s="88" t="s">
        <v>84</v>
      </c>
      <c r="B7" s="93"/>
      <c r="C7" s="93">
        <f>SUM('КЕКВ 2210 матеріали'!H21:H23)</f>
        <v>60261.119999999995</v>
      </c>
      <c r="D7" s="94">
        <f>SUM('КЕКВ 2210 матеріали'!H29:H31,'КЕКВ 2210 матеріали'!H35)</f>
        <v>4742.5</v>
      </c>
      <c r="E7" s="116">
        <f t="shared" ref="E7:E12" si="0">SUM(C7:D7)</f>
        <v>65003.619999999995</v>
      </c>
      <c r="F7" s="95">
        <f t="shared" ref="F7:F12" si="1">SUM(B7:D7)</f>
        <v>65003.619999999995</v>
      </c>
      <c r="G7" s="93">
        <f>SUM('КЕКВ 2210 матеріали'!H25:H27)</f>
        <v>99532.800000000003</v>
      </c>
      <c r="H7" s="93"/>
      <c r="I7" s="93"/>
      <c r="J7" s="93">
        <f>SUM('КЕКВ 2210 матеріали'!H32)</f>
        <v>2370</v>
      </c>
      <c r="K7" s="93">
        <f t="shared" ref="K7:K12" si="2">SUM(G7:J7)</f>
        <v>101902.8</v>
      </c>
      <c r="L7" s="93">
        <f t="shared" ref="L7:L12" si="3">SUM(F7,K7)</f>
        <v>166906.41999999998</v>
      </c>
    </row>
    <row r="8" spans="1:12" ht="13.8" x14ac:dyDescent="0.25">
      <c r="A8" s="87" t="s">
        <v>85</v>
      </c>
      <c r="B8" s="93"/>
      <c r="C8" s="93">
        <f>SUM('КЕКВ 3110 Обладнання'!F14)</f>
        <v>2262619.48</v>
      </c>
      <c r="D8" s="94"/>
      <c r="E8" s="116">
        <f t="shared" si="0"/>
        <v>2262619.48</v>
      </c>
      <c r="F8" s="95">
        <f t="shared" si="1"/>
        <v>2262619.48</v>
      </c>
      <c r="G8" s="93">
        <f>SUM('КЕКВ 3110 Обладнання'!F18)</f>
        <v>1105747.2</v>
      </c>
      <c r="H8" s="93"/>
      <c r="I8" s="93"/>
      <c r="J8" s="93"/>
      <c r="K8" s="93">
        <f t="shared" si="2"/>
        <v>1105747.2</v>
      </c>
      <c r="L8" s="93">
        <f t="shared" si="3"/>
        <v>3368366.6799999997</v>
      </c>
    </row>
    <row r="9" spans="1:12" ht="13.8" x14ac:dyDescent="0.25">
      <c r="A9" s="87" t="s">
        <v>89</v>
      </c>
      <c r="B9" s="93"/>
      <c r="C9" s="93"/>
      <c r="D9" s="94"/>
      <c r="E9" s="116">
        <f t="shared" si="0"/>
        <v>0</v>
      </c>
      <c r="F9" s="95">
        <f t="shared" si="1"/>
        <v>0</v>
      </c>
      <c r="G9" s="93"/>
      <c r="H9" s="93">
        <f>SUM('КЕКВ 2250 Відрядження'!I11)</f>
        <v>112077.33</v>
      </c>
      <c r="I9" s="93">
        <f>SUM('КЕКВ 2250 Відрядження'!I12,'КЕКВ 2250 Відрядження'!I14)</f>
        <v>33231.880000000005</v>
      </c>
      <c r="J9" s="93">
        <f>SUM('КЕКВ 2250 Відрядження'!I13)</f>
        <v>34019.82</v>
      </c>
      <c r="K9" s="93">
        <f t="shared" si="2"/>
        <v>179329.03000000003</v>
      </c>
      <c r="L9" s="93">
        <f t="shared" si="3"/>
        <v>179329.03000000003</v>
      </c>
    </row>
    <row r="10" spans="1:12" ht="13.8" x14ac:dyDescent="0.25">
      <c r="A10" s="89" t="s">
        <v>87</v>
      </c>
      <c r="B10" s="93">
        <f>SUM(B6:B9,B11)/9</f>
        <v>7226.8990888888884</v>
      </c>
      <c r="C10" s="93">
        <f t="shared" ref="C10:J10" si="4">SUM(C6:C9,C11)/9</f>
        <v>272551.64262222219</v>
      </c>
      <c r="D10" s="94">
        <f t="shared" si="4"/>
        <v>22207.641711111108</v>
      </c>
      <c r="E10" s="116">
        <f t="shared" si="0"/>
        <v>294759.28433333331</v>
      </c>
      <c r="F10" s="95">
        <f t="shared" si="1"/>
        <v>301986.18342222221</v>
      </c>
      <c r="G10" s="93">
        <f t="shared" si="4"/>
        <v>177281.39453333331</v>
      </c>
      <c r="H10" s="93">
        <f t="shared" si="4"/>
        <v>61754.497866666658</v>
      </c>
      <c r="I10" s="93">
        <f t="shared" si="4"/>
        <v>60641.197866666662</v>
      </c>
      <c r="J10" s="93">
        <f t="shared" si="4"/>
        <v>49221.559888888878</v>
      </c>
      <c r="K10" s="93">
        <f t="shared" si="2"/>
        <v>348898.65015555546</v>
      </c>
      <c r="L10" s="93">
        <f t="shared" si="3"/>
        <v>650884.83357777772</v>
      </c>
    </row>
    <row r="11" spans="1:12" ht="13.8" x14ac:dyDescent="0.25">
      <c r="A11" s="87" t="s">
        <v>86</v>
      </c>
      <c r="B11" s="93"/>
      <c r="C11" s="93"/>
      <c r="D11" s="94"/>
      <c r="E11" s="116">
        <f t="shared" si="0"/>
        <v>0</v>
      </c>
      <c r="F11" s="95">
        <f t="shared" si="1"/>
        <v>0</v>
      </c>
      <c r="G11" s="93"/>
      <c r="H11" s="93">
        <f>SUM('КЕКВ 2210 матеріали'!H15)</f>
        <v>53460.6</v>
      </c>
      <c r="I11" s="93">
        <f>SUM('КЕКВ 2210 матеріали'!H13,'КЕКВ 2210 матеріали'!H16,'КЕКВ 2210 матеріали'!H18)</f>
        <v>122286.35</v>
      </c>
      <c r="J11" s="93">
        <f>SUM('КЕКВ 2210 матеріали'!H14,'КЕКВ 2210 матеріали'!H17)</f>
        <v>81393.759999999995</v>
      </c>
      <c r="K11" s="93">
        <f t="shared" si="2"/>
        <v>257140.71000000002</v>
      </c>
      <c r="L11" s="93">
        <f t="shared" si="3"/>
        <v>257140.71000000002</v>
      </c>
    </row>
    <row r="12" spans="1:12" ht="13.8" x14ac:dyDescent="0.25">
      <c r="A12" s="87" t="s">
        <v>100</v>
      </c>
      <c r="B12" s="93">
        <f>SUM(B6:B11)</f>
        <v>72268.990888888889</v>
      </c>
      <c r="C12" s="93">
        <f t="shared" ref="C12:J12" si="5">SUM(C6:C11)</f>
        <v>2725516.4262222219</v>
      </c>
      <c r="D12" s="94">
        <f t="shared" si="5"/>
        <v>222076.41711111105</v>
      </c>
      <c r="E12" s="116">
        <f t="shared" si="0"/>
        <v>2947592.8433333328</v>
      </c>
      <c r="F12" s="95">
        <f t="shared" si="1"/>
        <v>3019861.8342222217</v>
      </c>
      <c r="G12" s="93">
        <f t="shared" si="5"/>
        <v>1772813.9453333332</v>
      </c>
      <c r="H12" s="93">
        <f t="shared" si="5"/>
        <v>617544.97866666655</v>
      </c>
      <c r="I12" s="93">
        <f t="shared" si="5"/>
        <v>606411.97866666655</v>
      </c>
      <c r="J12" s="93">
        <f t="shared" si="5"/>
        <v>492215.59888888884</v>
      </c>
      <c r="K12" s="93">
        <f t="shared" si="2"/>
        <v>3488986.501555555</v>
      </c>
      <c r="L12" s="93">
        <f t="shared" si="3"/>
        <v>6508848.3357777763</v>
      </c>
    </row>
    <row r="13" spans="1:12" ht="13.8" x14ac:dyDescent="0.25">
      <c r="A13" s="87" t="s">
        <v>88</v>
      </c>
      <c r="B13" s="93">
        <f>SUM(B12:C12)</f>
        <v>2797785.4171111109</v>
      </c>
      <c r="C13" s="93"/>
      <c r="D13" s="94"/>
      <c r="E13" s="116"/>
      <c r="F13" s="95"/>
      <c r="G13" s="93"/>
      <c r="H13" s="93"/>
      <c r="I13" s="93"/>
      <c r="J13" s="93"/>
      <c r="K13" s="93"/>
      <c r="L13" s="93"/>
    </row>
    <row r="14" spans="1:12" x14ac:dyDescent="0.25">
      <c r="B14" s="93"/>
      <c r="C14" s="93"/>
      <c r="D14" s="94"/>
      <c r="E14" s="116"/>
      <c r="F14" s="95"/>
      <c r="G14" s="93"/>
      <c r="H14" s="93"/>
      <c r="I14" s="93"/>
      <c r="J14" s="93"/>
      <c r="K14" s="93"/>
      <c r="L14" s="93"/>
    </row>
    <row r="15" spans="1:12" ht="13.8" x14ac:dyDescent="0.25">
      <c r="A15" s="87" t="s">
        <v>101</v>
      </c>
      <c r="B15" s="93">
        <f>SUM(B13,D12)</f>
        <v>3019861.8342222217</v>
      </c>
      <c r="C15" s="93"/>
      <c r="D15" s="94"/>
      <c r="E15" s="116"/>
      <c r="F15" s="95"/>
      <c r="G15" s="93">
        <f>SUM(G12:J12)</f>
        <v>3488986.501555555</v>
      </c>
      <c r="H15" s="93"/>
      <c r="I15" s="93"/>
      <c r="J15" s="93"/>
      <c r="K15" s="93"/>
      <c r="L15" s="9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Проект штатного розпису на 2019</vt:lpstr>
      <vt:lpstr>КЕКВ 2210 матеріали</vt:lpstr>
      <vt:lpstr>КЕКВ 2250 Відрядження</vt:lpstr>
      <vt:lpstr>КЕКВ 3110 Обладнання</vt:lpstr>
      <vt:lpstr>Лист1</vt:lpstr>
      <vt:lpstr>'Проект штатного розпису на 2019'!Область_печати</vt:lpstr>
    </vt:vector>
  </TitlesOfParts>
  <Company>rektorat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zz</cp:lastModifiedBy>
  <cp:lastPrinted>2016-08-11T09:45:13Z</cp:lastPrinted>
  <dcterms:created xsi:type="dcterms:W3CDTF">2005-05-19T07:12:54Z</dcterms:created>
  <dcterms:modified xsi:type="dcterms:W3CDTF">2020-06-16T08:09:48Z</dcterms:modified>
</cp:coreProperties>
</file>