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Statistics-Team-Fat-Tails\"/>
    </mc:Choice>
  </mc:AlternateContent>
  <xr:revisionPtr revIDLastSave="0" documentId="8_{96B1FFAA-57AF-4889-998F-67C9683BF666}" xr6:coauthVersionLast="34" xr6:coauthVersionMax="34" xr10:uidLastSave="{00000000-0000-0000-0000-000000000000}"/>
  <bookViews>
    <workbookView xWindow="0" yWindow="0" windowWidth="21570" windowHeight="8100" activeTab="1" xr2:uid="{805AE711-A4F8-4FD2-8294-5F050622A822}"/>
  </bookViews>
  <sheets>
    <sheet name="Sheet1" sheetId="1" r:id="rId1"/>
    <sheet name="Sheet3" sheetId="3" r:id="rId2"/>
    <sheet name="ESRI_MAPINFO_SHEET" sheetId="2" state="veryHidden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3" l="1"/>
  <c r="C9" i="3"/>
  <c r="B9" i="3"/>
  <c r="C4" i="3"/>
  <c r="D4" i="3"/>
  <c r="B4" i="3"/>
  <c r="D8" i="3"/>
  <c r="C8" i="3"/>
  <c r="B8" i="3"/>
  <c r="B3" i="3"/>
  <c r="G8" i="3" l="1"/>
  <c r="G7" i="3"/>
  <c r="G6" i="3"/>
  <c r="G5" i="3"/>
  <c r="G2" i="3"/>
  <c r="G3" i="3"/>
  <c r="G4" i="3"/>
  <c r="A31" i="1"/>
  <c r="C3" i="3" l="1"/>
  <c r="D3" i="3"/>
  <c r="A34" i="1"/>
  <c r="A28" i="1" l="1"/>
  <c r="C3" i="1" s="1"/>
  <c r="B28" i="1"/>
  <c r="D18" i="1" l="1"/>
  <c r="C5" i="1"/>
  <c r="D20" i="1"/>
  <c r="D16" i="1"/>
  <c r="D12" i="1"/>
  <c r="D8" i="1"/>
  <c r="D4" i="1"/>
  <c r="C20" i="1"/>
  <c r="C16" i="1"/>
  <c r="C12" i="1"/>
  <c r="C8" i="1"/>
  <c r="C4" i="1"/>
  <c r="D22" i="1"/>
  <c r="D14" i="1"/>
  <c r="D10" i="1"/>
  <c r="D6" i="1"/>
  <c r="C22" i="1"/>
  <c r="C18" i="1"/>
  <c r="C14" i="1"/>
  <c r="C10" i="1"/>
  <c r="C6" i="1"/>
  <c r="D21" i="1"/>
  <c r="D17" i="1"/>
  <c r="D13" i="1"/>
  <c r="D9" i="1"/>
  <c r="D5" i="1"/>
  <c r="C21" i="1"/>
  <c r="C17" i="1"/>
  <c r="C13" i="1"/>
  <c r="C9" i="1"/>
  <c r="D23" i="1"/>
  <c r="D19" i="1"/>
  <c r="D15" i="1"/>
  <c r="D11" i="1"/>
  <c r="D7" i="1"/>
  <c r="C23" i="1"/>
  <c r="C19" i="1"/>
  <c r="C15" i="1"/>
  <c r="C11" i="1"/>
  <c r="C7" i="1"/>
  <c r="D3" i="1"/>
  <c r="C24" i="1" l="1"/>
  <c r="D24" i="1"/>
  <c r="C28" i="1"/>
  <c r="D28" i="1" s="1"/>
  <c r="E19" i="1" l="1"/>
  <c r="F19" i="1" s="1"/>
  <c r="G19" i="1" s="1"/>
  <c r="A66" i="1"/>
  <c r="B41" i="1"/>
  <c r="B54" i="1"/>
  <c r="B39" i="1"/>
  <c r="B43" i="1"/>
  <c r="B55" i="1"/>
  <c r="B57" i="1"/>
  <c r="B40" i="1"/>
  <c r="B53" i="1"/>
  <c r="B52" i="1"/>
  <c r="B42" i="1"/>
  <c r="B44" i="1"/>
  <c r="B56" i="1"/>
  <c r="B38" i="1"/>
  <c r="E23" i="1"/>
  <c r="F23" i="1" s="1"/>
  <c r="G23" i="1" s="1"/>
  <c r="E11" i="1"/>
  <c r="F11" i="1" s="1"/>
  <c r="G11" i="1" s="1"/>
  <c r="E7" i="1"/>
  <c r="F7" i="1" s="1"/>
  <c r="G7" i="1" s="1"/>
  <c r="E14" i="1"/>
  <c r="F14" i="1" s="1"/>
  <c r="G14" i="1" s="1"/>
  <c r="E21" i="1"/>
  <c r="F21" i="1" s="1"/>
  <c r="G21" i="1" s="1"/>
  <c r="E20" i="1"/>
  <c r="F20" i="1" s="1"/>
  <c r="G20" i="1" s="1"/>
  <c r="B46" i="1"/>
  <c r="B51" i="1"/>
  <c r="B45" i="1"/>
  <c r="B47" i="1"/>
  <c r="B48" i="1"/>
  <c r="B50" i="1"/>
  <c r="A62" i="1"/>
  <c r="B49" i="1"/>
  <c r="E22" i="1"/>
  <c r="F22" i="1" s="1"/>
  <c r="G22" i="1" s="1"/>
  <c r="E6" i="1"/>
  <c r="F6" i="1" s="1"/>
  <c r="G6" i="1" s="1"/>
  <c r="E10" i="1"/>
  <c r="F10" i="1" s="1"/>
  <c r="G10" i="1" s="1"/>
  <c r="E13" i="1"/>
  <c r="F13" i="1" s="1"/>
  <c r="G13" i="1" s="1"/>
  <c r="E9" i="1"/>
  <c r="F9" i="1" s="1"/>
  <c r="G9" i="1" s="1"/>
  <c r="E5" i="1"/>
  <c r="F5" i="1" s="1"/>
  <c r="G5" i="1" s="1"/>
  <c r="E12" i="1"/>
  <c r="F12" i="1" s="1"/>
  <c r="G12" i="1" s="1"/>
  <c r="E3" i="1"/>
  <c r="F3" i="1" s="1"/>
  <c r="G3" i="1" s="1"/>
  <c r="E18" i="1"/>
  <c r="F18" i="1" s="1"/>
  <c r="G18" i="1" s="1"/>
  <c r="E4" i="1"/>
  <c r="F4" i="1" s="1"/>
  <c r="G4" i="1" s="1"/>
  <c r="E16" i="1"/>
  <c r="F16" i="1" s="1"/>
  <c r="G16" i="1" s="1"/>
  <c r="E17" i="1"/>
  <c r="F17" i="1" s="1"/>
  <c r="G17" i="1" s="1"/>
  <c r="E8" i="1"/>
  <c r="F8" i="1" s="1"/>
  <c r="G8" i="1" s="1"/>
  <c r="E15" i="1"/>
  <c r="F15" i="1" s="1"/>
  <c r="G15" i="1" s="1"/>
  <c r="G24" i="1" l="1"/>
  <c r="B31" i="1" s="1"/>
  <c r="F40" i="1" l="1"/>
  <c r="F48" i="1"/>
  <c r="F56" i="1"/>
  <c r="F50" i="1"/>
  <c r="H50" i="1" s="1"/>
  <c r="F38" i="1"/>
  <c r="F43" i="1"/>
  <c r="F51" i="1"/>
  <c r="F44" i="1"/>
  <c r="F52" i="1"/>
  <c r="F45" i="1"/>
  <c r="F46" i="1"/>
  <c r="F39" i="1"/>
  <c r="F41" i="1"/>
  <c r="F49" i="1"/>
  <c r="G49" i="1" s="1"/>
  <c r="F57" i="1"/>
  <c r="F42" i="1"/>
  <c r="C66" i="1"/>
  <c r="F53" i="1"/>
  <c r="C62" i="1"/>
  <c r="F47" i="1"/>
  <c r="F55" i="1"/>
  <c r="F54" i="1"/>
  <c r="C38" i="1"/>
  <c r="C44" i="1"/>
  <c r="C49" i="1"/>
  <c r="C55" i="1"/>
  <c r="C47" i="1"/>
  <c r="C50" i="1"/>
  <c r="C42" i="1"/>
  <c r="C57" i="1"/>
  <c r="C56" i="1"/>
  <c r="C46" i="1"/>
  <c r="D46" i="1" s="1"/>
  <c r="C39" i="1"/>
  <c r="C40" i="1"/>
  <c r="C45" i="1"/>
  <c r="C48" i="1"/>
  <c r="C54" i="1"/>
  <c r="C41" i="1"/>
  <c r="C53" i="1"/>
  <c r="C51" i="1"/>
  <c r="D51" i="1" s="1"/>
  <c r="C43" i="1"/>
  <c r="C52" i="1"/>
  <c r="C31" i="1"/>
  <c r="C34" i="1" s="1"/>
  <c r="D31" i="1"/>
  <c r="D34" i="1" s="1"/>
  <c r="D48" i="1"/>
  <c r="G47" i="1"/>
  <c r="D47" i="1"/>
  <c r="D50" i="1"/>
  <c r="G45" i="1"/>
  <c r="E49" i="1"/>
  <c r="G46" i="1"/>
  <c r="H49" i="1"/>
  <c r="G48" i="1"/>
  <c r="H48" i="1"/>
  <c r="H46" i="1"/>
  <c r="D49" i="1"/>
  <c r="E46" i="1"/>
  <c r="E45" i="1"/>
  <c r="D45" i="1"/>
  <c r="G51" i="1"/>
  <c r="H51" i="1"/>
  <c r="D44" i="1" l="1"/>
  <c r="E44" i="1"/>
  <c r="G42" i="1"/>
  <c r="H42" i="1"/>
  <c r="G44" i="1"/>
  <c r="H44" i="1"/>
  <c r="D53" i="1"/>
  <c r="E53" i="1"/>
  <c r="D56" i="1"/>
  <c r="E56" i="1"/>
  <c r="G57" i="1"/>
  <c r="H57" i="1"/>
  <c r="D41" i="1"/>
  <c r="E41" i="1"/>
  <c r="H54" i="1"/>
  <c r="G54" i="1"/>
  <c r="H43" i="1"/>
  <c r="G43" i="1"/>
  <c r="D57" i="1"/>
  <c r="E57" i="1"/>
  <c r="E54" i="1"/>
  <c r="D54" i="1"/>
  <c r="D42" i="1"/>
  <c r="E42" i="1"/>
  <c r="G55" i="1"/>
  <c r="H55" i="1"/>
  <c r="G41" i="1"/>
  <c r="H41" i="1"/>
  <c r="E51" i="1"/>
  <c r="H39" i="1"/>
  <c r="G39" i="1"/>
  <c r="D62" i="1"/>
  <c r="E62" i="1"/>
  <c r="H56" i="1"/>
  <c r="G56" i="1"/>
  <c r="D40" i="1"/>
  <c r="E40" i="1"/>
  <c r="D55" i="1"/>
  <c r="E55" i="1"/>
  <c r="H53" i="1"/>
  <c r="G53" i="1"/>
  <c r="E43" i="1"/>
  <c r="D43" i="1"/>
  <c r="D39" i="1"/>
  <c r="E39" i="1"/>
  <c r="D66" i="1"/>
  <c r="E66" i="1"/>
  <c r="H40" i="1"/>
  <c r="G40" i="1"/>
  <c r="H47" i="1"/>
  <c r="E50" i="1"/>
  <c r="H45" i="1"/>
  <c r="E48" i="1"/>
  <c r="E47" i="1"/>
  <c r="G38" i="1"/>
  <c r="H38" i="1"/>
  <c r="E52" i="1"/>
  <c r="D52" i="1"/>
  <c r="D38" i="1"/>
  <c r="E38" i="1"/>
  <c r="H52" i="1"/>
  <c r="G52" i="1"/>
  <c r="G50" i="1"/>
</calcChain>
</file>

<file path=xl/sharedStrings.xml><?xml version="1.0" encoding="utf-8"?>
<sst xmlns="http://schemas.openxmlformats.org/spreadsheetml/2006/main" count="93" uniqueCount="66">
  <si>
    <t>Mass (x)</t>
  </si>
  <si>
    <t>Tcell (y)</t>
  </si>
  <si>
    <t>x_bar</t>
  </si>
  <si>
    <t>y_bar</t>
  </si>
  <si>
    <t>(x_i - x_bar) ^2</t>
  </si>
  <si>
    <t>(x_i - x_bar)(y_i - y_bar)</t>
  </si>
  <si>
    <t xml:space="preserve">Beta 1 </t>
  </si>
  <si>
    <t xml:space="preserve">Beta 0 </t>
  </si>
  <si>
    <t>SS_total</t>
  </si>
  <si>
    <t>y_hat</t>
  </si>
  <si>
    <t>Residual</t>
  </si>
  <si>
    <t>Residual^2</t>
  </si>
  <si>
    <t>n</t>
  </si>
  <si>
    <t>SE(Beta1)</t>
  </si>
  <si>
    <t>SE(Beta0)</t>
  </si>
  <si>
    <t>t(Beta1)</t>
  </si>
  <si>
    <t>t(Beta0)</t>
  </si>
  <si>
    <t>Tcell_hat (y)</t>
  </si>
  <si>
    <t>Lower Limit</t>
  </si>
  <si>
    <t>Upper Limit</t>
  </si>
  <si>
    <t>Check N and DF</t>
  </si>
  <si>
    <t>Confidence Interval</t>
  </si>
  <si>
    <t>Prediction Interval</t>
  </si>
  <si>
    <t>Mass_hat (x)</t>
  </si>
  <si>
    <t>SE Est</t>
  </si>
  <si>
    <t>SS_x</t>
  </si>
  <si>
    <t>est</t>
  </si>
  <si>
    <t>lcl</t>
  </si>
  <si>
    <t>ucl</t>
  </si>
  <si>
    <t>CI Upper Limit</t>
  </si>
  <si>
    <t>CI Lower Limit</t>
  </si>
  <si>
    <t>CI SE Est Value</t>
  </si>
  <si>
    <t>PI Upper Limit</t>
  </si>
  <si>
    <t>PI Lower Limit</t>
  </si>
  <si>
    <t>PI SE Est Value</t>
  </si>
  <si>
    <t>rMSE</t>
  </si>
  <si>
    <t>s_x^2</t>
  </si>
  <si>
    <t>Calibration Interval (Mean)</t>
  </si>
  <si>
    <t>Calibration Interval (Pred)</t>
  </si>
  <si>
    <t>&lt;.0001</t>
  </si>
  <si>
    <t>Parameter</t>
  </si>
  <si>
    <t>Estimate</t>
  </si>
  <si>
    <t>Standard</t>
  </si>
  <si>
    <t>Error</t>
  </si>
  <si>
    <t>t Value</t>
  </si>
  <si>
    <t>Pr &gt; |t|</t>
  </si>
  <si>
    <t>95% Confidence Limits</t>
  </si>
  <si>
    <t>Intercept</t>
  </si>
  <si>
    <t>B</t>
  </si>
  <si>
    <t>Neighborhood BrkSide</t>
  </si>
  <si>
    <t>Neighborhood Edwards</t>
  </si>
  <si>
    <t>Neighborhood NAmes</t>
  </si>
  <si>
    <t>.</t>
  </si>
  <si>
    <t>logGrLivArea</t>
  </si>
  <si>
    <t>logGrLivA*Neighborho BrkSide</t>
  </si>
  <si>
    <t>logGrLivA*Neighborho Edwards</t>
  </si>
  <si>
    <t>logGrLivA*Neighborho NAmes</t>
  </si>
  <si>
    <t>intercept</t>
  </si>
  <si>
    <t>estimate</t>
  </si>
  <si>
    <t>SalesPrice</t>
  </si>
  <si>
    <t>LivingArea</t>
  </si>
  <si>
    <t>% change</t>
  </si>
  <si>
    <t>$ change</t>
  </si>
  <si>
    <t>change</t>
  </si>
  <si>
    <t>= 8.49 + 0.47*LivingArea</t>
  </si>
  <si>
    <t>= 360.22 + 1.39*LivingArea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</si>
</sst>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rgb="FF112277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DF2F9"/>
        <bgColor indexed="64"/>
      </patternFill>
    </fill>
  </fills>
  <borders count="16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 style="medium">
        <color rgb="FFB0B7BB"/>
      </right>
      <top/>
      <bottom style="medium">
        <color rgb="FFB0B7BB"/>
      </bottom>
      <diagonal/>
    </border>
    <border>
      <left/>
      <right style="medium">
        <color rgb="FFC1C1C1"/>
      </right>
      <top/>
      <bottom style="medium">
        <color rgb="FFC1C1C1"/>
      </bottom>
      <diagonal/>
    </border>
    <border>
      <left style="medium">
        <color rgb="FFC1C1C1"/>
      </left>
      <right style="medium">
        <color rgb="FFB0B7BB"/>
      </right>
      <top/>
      <bottom style="medium">
        <color rgb="FFB0B7BB"/>
      </bottom>
      <diagonal/>
    </border>
    <border>
      <left/>
      <right/>
      <top/>
      <bottom style="medium">
        <color rgb="FFC1C1C1"/>
      </bottom>
      <diagonal/>
    </border>
    <border>
      <left style="medium">
        <color rgb="FFC1C1C1"/>
      </left>
      <right style="medium">
        <color rgb="FFB0B7BB"/>
      </right>
      <top/>
      <bottom/>
      <diagonal/>
    </border>
    <border>
      <left/>
      <right style="medium">
        <color rgb="FFC1C1C1"/>
      </right>
      <top/>
      <bottom/>
      <diagonal/>
    </border>
    <border>
      <left/>
      <right/>
      <top/>
      <bottom style="medium">
        <color rgb="FFB0B7BB"/>
      </bottom>
      <diagonal/>
    </border>
    <border>
      <left style="medium">
        <color rgb="FFC1C1C1"/>
      </left>
      <right style="medium">
        <color rgb="FFB0B7BB"/>
      </right>
      <top style="medium">
        <color rgb="FFC1C1C1"/>
      </top>
      <bottom/>
      <diagonal/>
    </border>
    <border>
      <left/>
      <right style="medium">
        <color rgb="FFB0B7BB"/>
      </right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B0B7BB"/>
      </left>
      <right style="medium">
        <color rgb="FFB0B7BB"/>
      </right>
      <top style="medium">
        <color rgb="FFC1C1C1"/>
      </top>
      <bottom/>
      <diagonal/>
    </border>
    <border>
      <left style="medium">
        <color rgb="FFB0B7BB"/>
      </left>
      <right style="medium">
        <color rgb="FFB0B7BB"/>
      </right>
      <top/>
      <bottom style="medium">
        <color rgb="FFB0B7BB"/>
      </bottom>
      <diagonal/>
    </border>
    <border>
      <left style="medium">
        <color rgb="FFB0B7BB"/>
      </left>
      <right/>
      <top style="medium">
        <color rgb="FFC1C1C1"/>
      </top>
      <bottom/>
      <diagonal/>
    </border>
    <border>
      <left style="medium">
        <color rgb="FFB0B7BB"/>
      </left>
      <right/>
      <top/>
      <bottom style="medium">
        <color rgb="FFB0B7BB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2" borderId="1" xfId="0" applyFont="1" applyFill="1" applyBorder="1" applyAlignment="1">
      <alignment horizontal="right" vertical="top" wrapText="1"/>
    </xf>
    <xf numFmtId="0" fontId="5" fillId="3" borderId="2" xfId="0" applyFont="1" applyFill="1" applyBorder="1" applyAlignment="1">
      <alignment horizontal="right" wrapText="1"/>
    </xf>
    <xf numFmtId="0" fontId="6" fillId="2" borderId="3" xfId="0" applyFont="1" applyFill="1" applyBorder="1" applyAlignment="1">
      <alignment horizontal="right" vertical="top" wrapText="1"/>
    </xf>
    <xf numFmtId="0" fontId="5" fillId="3" borderId="4" xfId="0" applyFont="1" applyFill="1" applyBorder="1" applyAlignment="1">
      <alignment horizontal="left" vertical="top" wrapText="1"/>
    </xf>
    <xf numFmtId="0" fontId="6" fillId="2" borderId="5" xfId="0" applyFont="1" applyFill="1" applyBorder="1" applyAlignment="1">
      <alignment horizontal="right" vertical="top" wrapText="1"/>
    </xf>
    <xf numFmtId="0" fontId="5" fillId="3" borderId="6" xfId="0" applyFont="1" applyFill="1" applyBorder="1" applyAlignment="1">
      <alignment horizontal="left" vertical="top" wrapText="1"/>
    </xf>
    <xf numFmtId="0" fontId="6" fillId="2" borderId="7" xfId="0" applyFont="1" applyFill="1" applyBorder="1" applyAlignment="1">
      <alignment horizontal="right" vertical="top" wrapText="1"/>
    </xf>
    <xf numFmtId="0" fontId="6" fillId="2" borderId="0" xfId="0" applyFont="1" applyFill="1" applyBorder="1" applyAlignment="1">
      <alignment horizontal="right" vertical="top" wrapText="1"/>
    </xf>
    <xf numFmtId="0" fontId="6" fillId="2" borderId="3" xfId="0" applyFont="1" applyFill="1" applyBorder="1" applyAlignment="1">
      <alignment horizontal="right" vertical="top"/>
    </xf>
    <xf numFmtId="0" fontId="5" fillId="3" borderId="10" xfId="0" applyFont="1" applyFill="1" applyBorder="1" applyAlignment="1">
      <alignment horizontal="right" wrapText="1"/>
    </xf>
    <xf numFmtId="0" fontId="6" fillId="2" borderId="5" xfId="0" applyFont="1" applyFill="1" applyBorder="1" applyAlignment="1">
      <alignment horizontal="right" vertical="top"/>
    </xf>
    <xf numFmtId="0" fontId="5" fillId="3" borderId="9" xfId="0" applyFont="1" applyFill="1" applyBorder="1" applyAlignment="1">
      <alignment horizontal="left" wrapText="1"/>
    </xf>
    <xf numFmtId="0" fontId="5" fillId="3" borderId="4" xfId="0" applyFont="1" applyFill="1" applyBorder="1" applyAlignment="1">
      <alignment horizontal="left" wrapText="1"/>
    </xf>
    <xf numFmtId="0" fontId="5" fillId="3" borderId="12" xfId="0" applyFont="1" applyFill="1" applyBorder="1" applyAlignment="1">
      <alignment horizontal="right" wrapText="1"/>
    </xf>
    <xf numFmtId="0" fontId="5" fillId="3" borderId="13" xfId="0" applyFont="1" applyFill="1" applyBorder="1" applyAlignment="1">
      <alignment horizontal="right" wrapText="1"/>
    </xf>
    <xf numFmtId="0" fontId="5" fillId="3" borderId="12" xfId="0" applyFont="1" applyFill="1" applyBorder="1" applyAlignment="1">
      <alignment horizontal="center" vertical="top" wrapText="1"/>
    </xf>
    <xf numFmtId="0" fontId="5" fillId="3" borderId="13" xfId="0" applyFont="1" applyFill="1" applyBorder="1" applyAlignment="1">
      <alignment horizontal="center" vertical="top" wrapText="1"/>
    </xf>
    <xf numFmtId="0" fontId="5" fillId="3" borderId="11" xfId="0" applyFont="1" applyFill="1" applyBorder="1" applyAlignment="1">
      <alignment horizontal="center" wrapText="1"/>
    </xf>
    <xf numFmtId="0" fontId="5" fillId="3" borderId="14" xfId="0" applyFont="1" applyFill="1" applyBorder="1" applyAlignment="1">
      <alignment horizontal="center" wrapText="1"/>
    </xf>
    <xf numFmtId="0" fontId="5" fillId="3" borderId="15" xfId="0" applyFont="1" applyFill="1" applyBorder="1" applyAlignment="1">
      <alignment horizontal="center" wrapText="1"/>
    </xf>
    <xf numFmtId="0" fontId="5" fillId="3" borderId="8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right" vertical="top" wrapText="1"/>
    </xf>
    <xf numFmtId="0" fontId="7" fillId="2" borderId="5" xfId="0" applyFont="1" applyFill="1" applyBorder="1" applyAlignment="1">
      <alignment horizontal="right" vertical="top" wrapText="1"/>
    </xf>
    <xf numFmtId="0" fontId="0" fillId="0" borderId="0" xfId="0" quotePrefix="1"/>
    <xf numFmtId="0" fontId="0" fillId="0" borderId="0" xfId="0" applyFon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</a:t>
            </a:r>
            <a:r>
              <a:rPr lang="en-US" baseline="0"/>
              <a:t> of Tcell Response over Stone Mass</a:t>
            </a:r>
            <a:endParaRPr lang="en-US"/>
          </a:p>
        </c:rich>
      </c:tx>
      <c:layout>
        <c:manualLayout>
          <c:xMode val="edge"/>
          <c:yMode val="edge"/>
          <c:x val="0.39282633420822405"/>
          <c:y val="6.053727546986697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9.7132058491401579E-2"/>
          <c:w val="0.89653018372703408"/>
          <c:h val="0.7386598667893936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Tcell_hat (y)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Sheet1!$A$38:$A$57</c:f>
              <c:numCache>
                <c:formatCode>General</c:formatCode>
                <c:ptCount val="2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18</c:v>
                </c:pt>
                <c:pt idx="19">
                  <c:v>20</c:v>
                </c:pt>
              </c:numCache>
            </c:numRef>
          </c:xVal>
          <c:yVal>
            <c:numRef>
              <c:f>Sheet1!$B$38:$B$57</c:f>
              <c:numCache>
                <c:formatCode>General</c:formatCode>
                <c:ptCount val="20"/>
                <c:pt idx="0">
                  <c:v>-0.24071792403509298</c:v>
                </c:pt>
                <c:pt idx="1">
                  <c:v>-0.17507494247049418</c:v>
                </c:pt>
                <c:pt idx="2">
                  <c:v>-0.10943196090589538</c:v>
                </c:pt>
                <c:pt idx="3">
                  <c:v>-4.3788979341296552E-2</c:v>
                </c:pt>
                <c:pt idx="4">
                  <c:v>2.1854002223302263E-2</c:v>
                </c:pt>
                <c:pt idx="5">
                  <c:v>8.7496983787901078E-2</c:v>
                </c:pt>
                <c:pt idx="6">
                  <c:v>0.15313996535249991</c:v>
                </c:pt>
                <c:pt idx="7">
                  <c:v>0.18596145613479931</c:v>
                </c:pt>
                <c:pt idx="8">
                  <c:v>0.21878294691709871</c:v>
                </c:pt>
                <c:pt idx="9">
                  <c:v>0.25160443769939811</c:v>
                </c:pt>
                <c:pt idx="10">
                  <c:v>0.28442592848169757</c:v>
                </c:pt>
                <c:pt idx="11">
                  <c:v>0.31724741926399691</c:v>
                </c:pt>
                <c:pt idx="12">
                  <c:v>0.35006891004629637</c:v>
                </c:pt>
                <c:pt idx="13">
                  <c:v>0.38289040082859571</c:v>
                </c:pt>
                <c:pt idx="14">
                  <c:v>0.41571189161089517</c:v>
                </c:pt>
                <c:pt idx="15">
                  <c:v>0.48135487317549397</c:v>
                </c:pt>
                <c:pt idx="16">
                  <c:v>0.54699785474009277</c:v>
                </c:pt>
                <c:pt idx="17">
                  <c:v>0.61264083630469157</c:v>
                </c:pt>
                <c:pt idx="18">
                  <c:v>0.67828381786929037</c:v>
                </c:pt>
                <c:pt idx="19">
                  <c:v>0.74392679943388917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6E-404C-9397-FD130BE58349}"/>
            </c:ext>
          </c:extLst>
        </c:ser>
        <c:ser>
          <c:idx val="2"/>
          <c:order val="2"/>
          <c:tx>
            <c:strRef>
              <c:f>Sheet1!$D$37</c:f>
              <c:strCache>
                <c:ptCount val="1"/>
                <c:pt idx="0">
                  <c:v>CI Lower Limit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Sheet1!$A$38:$A$57</c:f>
              <c:numCache>
                <c:formatCode>General</c:formatCode>
                <c:ptCount val="2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18</c:v>
                </c:pt>
                <c:pt idx="19">
                  <c:v>20</c:v>
                </c:pt>
              </c:numCache>
            </c:numRef>
          </c:xVal>
          <c:yVal>
            <c:numRef>
              <c:f>Sheet1!$D$38:$D$57</c:f>
              <c:numCache>
                <c:formatCode>General</c:formatCode>
                <c:ptCount val="20"/>
                <c:pt idx="0">
                  <c:v>-0.70780727664280052</c:v>
                </c:pt>
                <c:pt idx="1">
                  <c:v>-0.58839946014154854</c:v>
                </c:pt>
                <c:pt idx="2">
                  <c:v>-0.46907646579712825</c:v>
                </c:pt>
                <c:pt idx="3">
                  <c:v>-0.34988292291228301</c:v>
                </c:pt>
                <c:pt idx="4">
                  <c:v>-0.23090112450045869</c:v>
                </c:pt>
                <c:pt idx="5">
                  <c:v>-0.11230072711334665</c:v>
                </c:pt>
                <c:pt idx="6">
                  <c:v>5.5072593570442696E-3</c:v>
                </c:pt>
                <c:pt idx="7">
                  <c:v>6.3795867877120674E-2</c:v>
                </c:pt>
                <c:pt idx="8">
                  <c:v>0.12124307876242732</c:v>
                </c:pt>
                <c:pt idx="9">
                  <c:v>0.17701086790012738</c:v>
                </c:pt>
                <c:pt idx="10">
                  <c:v>0.22897364916291157</c:v>
                </c:pt>
                <c:pt idx="11">
                  <c:v>0.27201148489340354</c:v>
                </c:pt>
                <c:pt idx="12">
                  <c:v>0.30028734633447035</c:v>
                </c:pt>
                <c:pt idx="13">
                  <c:v>0.3167791441222636</c:v>
                </c:pt>
                <c:pt idx="14">
                  <c:v>0.32782689692199235</c:v>
                </c:pt>
                <c:pt idx="15">
                  <c:v>0.34419926848042398</c:v>
                </c:pt>
                <c:pt idx="16">
                  <c:v>0.35794265933673947</c:v>
                </c:pt>
                <c:pt idx="17">
                  <c:v>0.37074335115724766</c:v>
                </c:pt>
                <c:pt idx="18">
                  <c:v>0.38310719424498724</c:v>
                </c:pt>
                <c:pt idx="19">
                  <c:v>0.39523437859604366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6E-404C-9397-FD130BE58349}"/>
            </c:ext>
          </c:extLst>
        </c:ser>
        <c:ser>
          <c:idx val="3"/>
          <c:order val="3"/>
          <c:tx>
            <c:strRef>
              <c:f>Sheet1!$E$37</c:f>
              <c:strCache>
                <c:ptCount val="1"/>
                <c:pt idx="0">
                  <c:v>CI Upper Limit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Sheet1!$A$38:$A$57</c:f>
              <c:numCache>
                <c:formatCode>General</c:formatCode>
                <c:ptCount val="2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18</c:v>
                </c:pt>
                <c:pt idx="19">
                  <c:v>20</c:v>
                </c:pt>
              </c:numCache>
            </c:numRef>
          </c:xVal>
          <c:yVal>
            <c:numRef>
              <c:f>Sheet1!$E$38:$E$57</c:f>
              <c:numCache>
                <c:formatCode>General</c:formatCode>
                <c:ptCount val="20"/>
                <c:pt idx="0">
                  <c:v>0.22637142857261458</c:v>
                </c:pt>
                <c:pt idx="1">
                  <c:v>0.23824957520056014</c:v>
                </c:pt>
                <c:pt idx="2">
                  <c:v>0.25021254398533743</c:v>
                </c:pt>
                <c:pt idx="3">
                  <c:v>0.26230496422968991</c:v>
                </c:pt>
                <c:pt idx="4">
                  <c:v>0.27460912894706319</c:v>
                </c:pt>
                <c:pt idx="5">
                  <c:v>0.28729469468914881</c:v>
                </c:pt>
                <c:pt idx="6">
                  <c:v>0.30077267134795554</c:v>
                </c:pt>
                <c:pt idx="7">
                  <c:v>0.30812704439247796</c:v>
                </c:pt>
                <c:pt idx="8">
                  <c:v>0.31632281507177007</c:v>
                </c:pt>
                <c:pt idx="9">
                  <c:v>0.32619800749866884</c:v>
                </c:pt>
                <c:pt idx="10">
                  <c:v>0.33987820780048356</c:v>
                </c:pt>
                <c:pt idx="11">
                  <c:v>0.36248335363459028</c:v>
                </c:pt>
                <c:pt idx="12">
                  <c:v>0.39985047375812238</c:v>
                </c:pt>
                <c:pt idx="13">
                  <c:v>0.44900165753492782</c:v>
                </c:pt>
                <c:pt idx="14">
                  <c:v>0.50359688629979793</c:v>
                </c:pt>
                <c:pt idx="15">
                  <c:v>0.6185104778705639</c:v>
                </c:pt>
                <c:pt idx="16">
                  <c:v>0.73605305014344613</c:v>
                </c:pt>
                <c:pt idx="17">
                  <c:v>0.85453832145213549</c:v>
                </c:pt>
                <c:pt idx="18">
                  <c:v>0.97346044149359345</c:v>
                </c:pt>
                <c:pt idx="19">
                  <c:v>1.0926192202717346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6E-404C-9397-FD130BE58349}"/>
            </c:ext>
          </c:extLst>
        </c:ser>
        <c:ser>
          <c:idx val="5"/>
          <c:order val="5"/>
          <c:tx>
            <c:strRef>
              <c:f>Sheet1!$G$37</c:f>
              <c:strCache>
                <c:ptCount val="1"/>
                <c:pt idx="0">
                  <c:v>PI Lower Limit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Sheet1!$A$38:$A$57</c:f>
              <c:numCache>
                <c:formatCode>General</c:formatCode>
                <c:ptCount val="2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18</c:v>
                </c:pt>
                <c:pt idx="19">
                  <c:v>20</c:v>
                </c:pt>
              </c:numCache>
            </c:numRef>
          </c:xVal>
          <c:yVal>
            <c:numRef>
              <c:f>Sheet1!$G$38:$G$57</c:f>
              <c:numCache>
                <c:formatCode>General</c:formatCode>
                <c:ptCount val="20"/>
                <c:pt idx="0">
                  <c:v>-0.75111437052322505</c:v>
                </c:pt>
                <c:pt idx="1">
                  <c:v>-0.63677747243566019</c:v>
                </c:pt>
                <c:pt idx="2">
                  <c:v>-0.52377027577272661</c:v>
                </c:pt>
                <c:pt idx="3">
                  <c:v>-0.41260542631602615</c:v>
                </c:pt>
                <c:pt idx="4">
                  <c:v>-0.30405583707795258</c:v>
                </c:pt>
                <c:pt idx="5">
                  <c:v>-0.19929770680033812</c:v>
                </c:pt>
                <c:pt idx="6">
                  <c:v>-0.10009408675693887</c:v>
                </c:pt>
                <c:pt idx="7">
                  <c:v>-5.3321849222197903E-2</c:v>
                </c:pt>
                <c:pt idx="8">
                  <c:v>-8.9144293257029106E-3</c:v>
                </c:pt>
                <c:pt idx="9">
                  <c:v>3.2752273159899065E-2</c:v>
                </c:pt>
                <c:pt idx="10">
                  <c:v>7.1336687669605048E-2</c:v>
                </c:pt>
                <c:pt idx="11">
                  <c:v>0.10658570222313088</c:v>
                </c:pt>
                <c:pt idx="12">
                  <c:v>0.13838453803499301</c:v>
                </c:pt>
                <c:pt idx="13">
                  <c:v>0.16678216976944374</c:v>
                </c:pt>
                <c:pt idx="14">
                  <c:v>0.19198026318144454</c:v>
                </c:pt>
                <c:pt idx="15">
                  <c:v>0.23408229247254661</c:v>
                </c:pt>
                <c:pt idx="16">
                  <c:v>0.26758071822691221</c:v>
                </c:pt>
                <c:pt idx="17">
                  <c:v>0.29507751570723478</c:v>
                </c:pt>
                <c:pt idx="18">
                  <c:v>0.3184764966507404</c:v>
                </c:pt>
                <c:pt idx="19">
                  <c:v>0.33905833484571896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36E-404C-9397-FD130BE58349}"/>
            </c:ext>
          </c:extLst>
        </c:ser>
        <c:ser>
          <c:idx val="6"/>
          <c:order val="6"/>
          <c:tx>
            <c:strRef>
              <c:f>Sheet1!$H$37</c:f>
              <c:strCache>
                <c:ptCount val="1"/>
                <c:pt idx="0">
                  <c:v>PI Upper Limit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Sheet1!$A$38:$A$57</c:f>
              <c:numCache>
                <c:formatCode>General</c:formatCode>
                <c:ptCount val="2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18</c:v>
                </c:pt>
                <c:pt idx="19">
                  <c:v>20</c:v>
                </c:pt>
              </c:numCache>
            </c:numRef>
          </c:xVal>
          <c:yVal>
            <c:numRef>
              <c:f>Sheet1!$H$38:$H$57</c:f>
              <c:numCache>
                <c:formatCode>General</c:formatCode>
                <c:ptCount val="20"/>
                <c:pt idx="0">
                  <c:v>0.26967852245303914</c:v>
                </c:pt>
                <c:pt idx="1">
                  <c:v>0.28662758749467188</c:v>
                </c:pt>
                <c:pt idx="2">
                  <c:v>0.30490635396093579</c:v>
                </c:pt>
                <c:pt idx="3">
                  <c:v>0.32502746763343304</c:v>
                </c:pt>
                <c:pt idx="4">
                  <c:v>0.34776384152455708</c:v>
                </c:pt>
                <c:pt idx="5">
                  <c:v>0.3742916743761403</c:v>
                </c:pt>
                <c:pt idx="6">
                  <c:v>0.40637401746193869</c:v>
                </c:pt>
                <c:pt idx="7">
                  <c:v>0.42524476149179652</c:v>
                </c:pt>
                <c:pt idx="8">
                  <c:v>0.44648032315990033</c:v>
                </c:pt>
                <c:pt idx="9">
                  <c:v>0.47045660223889718</c:v>
                </c:pt>
                <c:pt idx="10">
                  <c:v>0.49751516929379008</c:v>
                </c:pt>
                <c:pt idx="11">
                  <c:v>0.52790913630486291</c:v>
                </c:pt>
                <c:pt idx="12">
                  <c:v>0.56175328205759967</c:v>
                </c:pt>
                <c:pt idx="13">
                  <c:v>0.59899863188774771</c:v>
                </c:pt>
                <c:pt idx="14">
                  <c:v>0.63944352004034577</c:v>
                </c:pt>
                <c:pt idx="15">
                  <c:v>0.7286274538784413</c:v>
                </c:pt>
                <c:pt idx="16">
                  <c:v>0.82641499125327333</c:v>
                </c:pt>
                <c:pt idx="17">
                  <c:v>0.93020415690214842</c:v>
                </c:pt>
                <c:pt idx="18">
                  <c:v>1.0380911390878405</c:v>
                </c:pt>
                <c:pt idx="19">
                  <c:v>1.1487952640220593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36E-404C-9397-FD130BE58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987072"/>
        <c:axId val="5909880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Sheet1!$C$37</c15:sqref>
                        </c15:formulaRef>
                      </c:ext>
                    </c:extLst>
                    <c:strCache>
                      <c:ptCount val="1"/>
                      <c:pt idx="0">
                        <c:v>CI SE Est Value</c:v>
                      </c:pt>
                    </c:strCache>
                  </c:strRef>
                </c:tx>
                <c:spPr>
                  <a:ln w="19050" cap="rnd">
                    <a:solidFill>
                      <a:schemeClr val="tx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50000"/>
                      </a:schemeClr>
                    </a:solidFill>
                    <a:ln w="9525">
                      <a:solidFill>
                        <a:schemeClr val="tx2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Sheet1!$A$38:$A$57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-10</c:v>
                      </c:pt>
                      <c:pt idx="1">
                        <c:v>-8</c:v>
                      </c:pt>
                      <c:pt idx="2">
                        <c:v>-6</c:v>
                      </c:pt>
                      <c:pt idx="3">
                        <c:v>-4</c:v>
                      </c:pt>
                      <c:pt idx="4">
                        <c:v>-2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6</c:v>
                      </c:pt>
                      <c:pt idx="11">
                        <c:v>7</c:v>
                      </c:pt>
                      <c:pt idx="12">
                        <c:v>8</c:v>
                      </c:pt>
                      <c:pt idx="13">
                        <c:v>9</c:v>
                      </c:pt>
                      <c:pt idx="14">
                        <c:v>10</c:v>
                      </c:pt>
                      <c:pt idx="15">
                        <c:v>12</c:v>
                      </c:pt>
                      <c:pt idx="16">
                        <c:v>14</c:v>
                      </c:pt>
                      <c:pt idx="17">
                        <c:v>16</c:v>
                      </c:pt>
                      <c:pt idx="18">
                        <c:v>18</c:v>
                      </c:pt>
                      <c:pt idx="19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Sheet1!$C$38:$C$57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0.18393087000231012</c:v>
                      </c:pt>
                      <c:pt idx="1">
                        <c:v>0.1627593044116582</c:v>
                      </c:pt>
                      <c:pt idx="2">
                        <c:v>0.14162114016705374</c:v>
                      </c:pt>
                      <c:pt idx="3">
                        <c:v>0.12053395143591321</c:v>
                      </c:pt>
                      <c:pt idx="4">
                        <c:v>9.9530143635901763E-2</c:v>
                      </c:pt>
                      <c:pt idx="5">
                        <c:v>7.8676524278216087E-2</c:v>
                      </c:pt>
                      <c:pt idx="6">
                        <c:v>5.8134941211869844E-2</c:v>
                      </c:pt>
                      <c:pt idx="7">
                        <c:v>4.8106476431396289E-2</c:v>
                      </c:pt>
                      <c:pt idx="8">
                        <c:v>3.8409337976639826E-2</c:v>
                      </c:pt>
                      <c:pt idx="9">
                        <c:v>2.9373523744783202E-2</c:v>
                      </c:pt>
                      <c:pt idx="10">
                        <c:v>2.1836048973870599E-2</c:v>
                      </c:pt>
                      <c:pt idx="11">
                        <c:v>1.7813047370271718E-2</c:v>
                      </c:pt>
                      <c:pt idx="12">
                        <c:v>1.9603029425681876E-2</c:v>
                      </c:pt>
                      <c:pt idx="13">
                        <c:v>2.6033350781931457E-2</c:v>
                      </c:pt>
                      <c:pt idx="14">
                        <c:v>3.4607433123945631E-2</c:v>
                      </c:pt>
                      <c:pt idx="15">
                        <c:v>5.4009258734794112E-2</c:v>
                      </c:pt>
                      <c:pt idx="16">
                        <c:v>7.4446326757099612E-2</c:v>
                      </c:pt>
                      <c:pt idx="17">
                        <c:v>9.5254611662937888E-2</c:v>
                      </c:pt>
                      <c:pt idx="18">
                        <c:v>0.11623491925999993</c:v>
                      </c:pt>
                      <c:pt idx="19">
                        <c:v>0.13730841854959094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D36E-404C-9397-FD130BE5834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Sheet1!$F$37</c15:sqref>
                        </c15:formulaRef>
                      </c:ext>
                    </c:extLst>
                    <c:strCache>
                      <c:ptCount val="1"/>
                      <c:pt idx="0">
                        <c:v>PI SE Est Value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Sheet1!$A$38:$A$57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-10</c:v>
                      </c:pt>
                      <c:pt idx="1">
                        <c:v>-8</c:v>
                      </c:pt>
                      <c:pt idx="2">
                        <c:v>-6</c:v>
                      </c:pt>
                      <c:pt idx="3">
                        <c:v>-4</c:v>
                      </c:pt>
                      <c:pt idx="4">
                        <c:v>-2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6</c:v>
                      </c:pt>
                      <c:pt idx="11">
                        <c:v>7</c:v>
                      </c:pt>
                      <c:pt idx="12">
                        <c:v>8</c:v>
                      </c:pt>
                      <c:pt idx="13">
                        <c:v>9</c:v>
                      </c:pt>
                      <c:pt idx="14">
                        <c:v>10</c:v>
                      </c:pt>
                      <c:pt idx="15">
                        <c:v>12</c:v>
                      </c:pt>
                      <c:pt idx="16">
                        <c:v>14</c:v>
                      </c:pt>
                      <c:pt idx="17">
                        <c:v>16</c:v>
                      </c:pt>
                      <c:pt idx="18">
                        <c:v>18</c:v>
                      </c:pt>
                      <c:pt idx="19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Sheet1!$F$38:$F$57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0.20098437681043507</c:v>
                      </c:pt>
                      <c:pt idx="1">
                        <c:v>0.18180964208379891</c:v>
                      </c:pt>
                      <c:pt idx="2">
                        <c:v>0.16315851839327458</c:v>
                      </c:pt>
                      <c:pt idx="3">
                        <c:v>0.14523287586089906</c:v>
                      </c:pt>
                      <c:pt idx="4">
                        <c:v>0.12833707287551585</c:v>
                      </c:pt>
                      <c:pt idx="5">
                        <c:v>0.11293427404722163</c:v>
                      </c:pt>
                      <c:pt idx="6">
                        <c:v>9.971873530976913E-2</c:v>
                      </c:pt>
                      <c:pt idx="7">
                        <c:v>9.4225197567936778E-2</c:v>
                      </c:pt>
                      <c:pt idx="8">
                        <c:v>8.9662879866062611E-2</c:v>
                      </c:pt>
                      <c:pt idx="9">
                        <c:v>8.6179804358431755E-2</c:v>
                      </c:pt>
                      <c:pt idx="10">
                        <c:v>8.3910475012727151E-2</c:v>
                      </c:pt>
                      <c:pt idx="11">
                        <c:v>8.2954562494704134E-2</c:v>
                      </c:pt>
                      <c:pt idx="12">
                        <c:v>8.335726449888084E-2</c:v>
                      </c:pt>
                      <c:pt idx="13">
                        <c:v>8.5099295737434397E-2</c:v>
                      </c:pt>
                      <c:pt idx="14">
                        <c:v>8.8101244085998009E-2</c:v>
                      </c:pt>
                      <c:pt idx="15">
                        <c:v>9.7371221678451622E-2</c:v>
                      </c:pt>
                      <c:pt idx="16">
                        <c:v>0.1100291340950072</c:v>
                      </c:pt>
                      <c:pt idx="17">
                        <c:v>0.12505037315070008</c:v>
                      </c:pt>
                      <c:pt idx="18">
                        <c:v>0.14168525412847638</c:v>
                      </c:pt>
                      <c:pt idx="19">
                        <c:v>0.15942947213944442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36E-404C-9397-FD130BE58349}"/>
                  </c:ext>
                </c:extLst>
              </c15:ser>
            </c15:filteredScatterSeries>
          </c:ext>
        </c:extLst>
      </c:scatterChart>
      <c:valAx>
        <c:axId val="590987072"/>
        <c:scaling>
          <c:orientation val="minMax"/>
          <c:max val="2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988056"/>
        <c:crosses val="autoZero"/>
        <c:crossBetween val="midCat"/>
      </c:valAx>
      <c:valAx>
        <c:axId val="59098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98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503359617701065E-2"/>
          <c:y val="0.88422174565668887"/>
          <c:w val="0.93802775495063917"/>
          <c:h val="9.761707170235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Sheet3!$F$2:$F$8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</c:numCache>
            </c:numRef>
          </c:xVal>
          <c:yVal>
            <c:numRef>
              <c:f>Sheet3!$G$2:$G$8</c:f>
              <c:numCache>
                <c:formatCode>_(* #,##0.00_);_(* \(#,##0.00\);_(* "-"??_);_(@_)</c:formatCode>
                <c:ptCount val="7"/>
                <c:pt idx="0">
                  <c:v>74723.372018896771</c:v>
                </c:pt>
                <c:pt idx="1">
                  <c:v>113524.9146478927</c:v>
                </c:pt>
                <c:pt idx="2">
                  <c:v>152326.45727688866</c:v>
                </c:pt>
                <c:pt idx="3">
                  <c:v>191127.99990588456</c:v>
                </c:pt>
                <c:pt idx="4">
                  <c:v>229929.54253488051</c:v>
                </c:pt>
                <c:pt idx="5">
                  <c:v>268731.08516387647</c:v>
                </c:pt>
                <c:pt idx="6">
                  <c:v>307532.62779287237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01-4131-BEAE-0BB6CFBB1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295144"/>
        <c:axId val="612295800"/>
      </c:scatterChart>
      <c:valAx>
        <c:axId val="61229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95800"/>
        <c:crosses val="autoZero"/>
        <c:crossBetween val="midCat"/>
      </c:valAx>
      <c:valAx>
        <c:axId val="61229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9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82826</xdr:colOff>
      <xdr:row>15</xdr:row>
      <xdr:rowOff>9525</xdr:rowOff>
    </xdr:from>
    <xdr:to>
      <xdr:col>18</xdr:col>
      <xdr:colOff>161924</xdr:colOff>
      <xdr:row>44</xdr:row>
      <xdr:rowOff>8283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A02670-F722-479B-BE83-096FE4E25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879197</xdr:colOff>
      <xdr:row>20</xdr:row>
      <xdr:rowOff>241577</xdr:rowOff>
    </xdr:from>
    <xdr:to>
      <xdr:col>7</xdr:col>
      <xdr:colOff>627544</xdr:colOff>
      <xdr:row>33</xdr:row>
      <xdr:rowOff>168690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B09EEA-2995-468E-93C9-CC5E20CC3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4874D4FC-1012-47AD-B225-C511F0196C2A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9E023-AE9C-47CC-92C5-5B20F5F300A3}">
  <dimension ref="A1:I66"/>
  <sheetViews>
    <sheetView topLeftCell="A37" zoomScale="115" zoomScaleNormal="115" workbookViewId="0">
      <selection activeCell="D75" sqref="D75"/>
    </sheetView>
  </sheetViews>
  <sheetFormatPr defaultRowHeight="14.5" x14ac:dyDescent="0.35"/>
  <cols>
    <col min="1" max="1" width="12.26953125" style="1" bestFit="1" customWidth="1"/>
    <col min="2" max="2" width="12" style="1" bestFit="1" customWidth="1"/>
    <col min="3" max="3" width="14" style="1" bestFit="1" customWidth="1"/>
    <col min="4" max="4" width="22.26953125" style="1" bestFit="1" customWidth="1"/>
    <col min="5" max="8" width="13.453125" style="1" customWidth="1"/>
  </cols>
  <sheetData>
    <row r="1" spans="1:9" x14ac:dyDescent="0.35">
      <c r="C1" s="3" t="s">
        <v>4</v>
      </c>
      <c r="D1" s="3" t="s">
        <v>5</v>
      </c>
    </row>
    <row r="2" spans="1:9" s="2" customFormat="1" x14ac:dyDescent="0.35">
      <c r="A2" s="3" t="s">
        <v>0</v>
      </c>
      <c r="B2" s="3" t="s">
        <v>1</v>
      </c>
      <c r="C2" s="3" t="s">
        <v>25</v>
      </c>
      <c r="D2" s="3" t="s">
        <v>8</v>
      </c>
      <c r="E2" s="3" t="s">
        <v>9</v>
      </c>
      <c r="F2" s="3" t="s">
        <v>10</v>
      </c>
      <c r="G2" s="3" t="s">
        <v>11</v>
      </c>
      <c r="H2" s="3"/>
      <c r="I2" s="4" t="s">
        <v>20</v>
      </c>
    </row>
    <row r="3" spans="1:9" x14ac:dyDescent="0.35">
      <c r="A3" s="1">
        <v>3.33</v>
      </c>
      <c r="B3" s="1">
        <v>0.252</v>
      </c>
      <c r="C3" s="1">
        <f t="shared" ref="C3:C23" si="0">(A3-$A$28)^2</f>
        <v>15.010089795918363</v>
      </c>
      <c r="D3" s="1">
        <f t="shared" ref="D3:D23" si="1">(A3-$A$28)*(B3-$B$28)</f>
        <v>0.27876408163265293</v>
      </c>
      <c r="E3" s="1">
        <f>$D$28+$C$28*A3</f>
        <v>0.1967925480929581</v>
      </c>
      <c r="F3" s="1">
        <f>B3-E3</f>
        <v>5.5207451907041905E-2</v>
      </c>
      <c r="G3" s="1">
        <f>F3^2</f>
        <v>3.0478627460683448E-3</v>
      </c>
    </row>
    <row r="4" spans="1:9" x14ac:dyDescent="0.35">
      <c r="A4" s="1">
        <v>4.62</v>
      </c>
      <c r="B4" s="1">
        <v>0.26300000000000001</v>
      </c>
      <c r="C4" s="1">
        <f t="shared" si="0"/>
        <v>6.6785326530612208</v>
      </c>
      <c r="D4" s="1">
        <f t="shared" si="1"/>
        <v>0.15751836734693866</v>
      </c>
      <c r="E4" s="1">
        <f t="shared" ref="E4:E23" si="2">$D$28+$C$28*A4</f>
        <v>0.23913227120212435</v>
      </c>
      <c r="F4" s="1">
        <f t="shared" ref="F4:F23" si="3">B4-E4</f>
        <v>2.3867728797875659E-2</v>
      </c>
      <c r="G4" s="1">
        <f t="shared" ref="G4:G23" si="4">F4^2</f>
        <v>5.6966847796894302E-4</v>
      </c>
    </row>
    <row r="5" spans="1:9" x14ac:dyDescent="0.35">
      <c r="A5" s="1">
        <v>5.43</v>
      </c>
      <c r="B5" s="1">
        <v>0.251</v>
      </c>
      <c r="C5" s="1">
        <f t="shared" si="0"/>
        <v>3.1480897959183665</v>
      </c>
      <c r="D5" s="1">
        <f t="shared" si="1"/>
        <v>0.12943836734693873</v>
      </c>
      <c r="E5" s="1">
        <f t="shared" si="2"/>
        <v>0.26571767873578689</v>
      </c>
      <c r="F5" s="1">
        <f t="shared" si="3"/>
        <v>-1.4717678735786888E-2</v>
      </c>
      <c r="G5" s="1">
        <f t="shared" si="4"/>
        <v>2.1661006736983351E-4</v>
      </c>
    </row>
    <row r="6" spans="1:9" x14ac:dyDescent="0.35">
      <c r="A6" s="1">
        <v>5.73</v>
      </c>
      <c r="B6" s="1">
        <v>0.251</v>
      </c>
      <c r="C6" s="1">
        <f t="shared" si="0"/>
        <v>2.173518367346936</v>
      </c>
      <c r="D6" s="1">
        <f t="shared" si="1"/>
        <v>0.1075526530612244</v>
      </c>
      <c r="E6" s="1">
        <f t="shared" si="2"/>
        <v>0.27556412597047669</v>
      </c>
      <c r="F6" s="1">
        <f t="shared" si="3"/>
        <v>-2.4564125970476691E-2</v>
      </c>
      <c r="G6" s="1">
        <f t="shared" si="4"/>
        <v>6.0339628469344749E-4</v>
      </c>
    </row>
    <row r="7" spans="1:9" x14ac:dyDescent="0.35">
      <c r="A7" s="1">
        <v>6.12</v>
      </c>
      <c r="B7" s="1">
        <v>0.183</v>
      </c>
      <c r="C7" s="1">
        <f t="shared" si="0"/>
        <v>1.1756755102040801</v>
      </c>
      <c r="D7" s="1">
        <f t="shared" si="1"/>
        <v>0.15283265306122437</v>
      </c>
      <c r="E7" s="1">
        <f t="shared" si="2"/>
        <v>0.28836450737557345</v>
      </c>
      <c r="F7" s="1">
        <f t="shared" si="3"/>
        <v>-0.10536450737557346</v>
      </c>
      <c r="G7" s="1">
        <f t="shared" si="4"/>
        <v>1.1101679414497273E-2</v>
      </c>
    </row>
    <row r="8" spans="1:9" x14ac:dyDescent="0.35">
      <c r="A8" s="1">
        <v>6.29</v>
      </c>
      <c r="B8" s="1">
        <v>0.21299999999999999</v>
      </c>
      <c r="C8" s="1">
        <f t="shared" si="0"/>
        <v>0.8359183673469377</v>
      </c>
      <c r="D8" s="1">
        <f t="shared" si="1"/>
        <v>0.10144217687074822</v>
      </c>
      <c r="E8" s="1">
        <f t="shared" si="2"/>
        <v>0.29394416080856434</v>
      </c>
      <c r="F8" s="1">
        <f t="shared" si="3"/>
        <v>-8.0944160808564342E-2</v>
      </c>
      <c r="G8" s="1">
        <f t="shared" si="4"/>
        <v>6.5519571690027239E-3</v>
      </c>
    </row>
    <row r="9" spans="1:9" x14ac:dyDescent="0.35">
      <c r="A9" s="1">
        <v>6.45</v>
      </c>
      <c r="B9" s="1">
        <v>0.33200000000000002</v>
      </c>
      <c r="C9" s="1">
        <f t="shared" si="0"/>
        <v>0.56894693877550906</v>
      </c>
      <c r="D9" s="1">
        <f t="shared" si="1"/>
        <v>-6.0702040816326729E-3</v>
      </c>
      <c r="E9" s="1">
        <f t="shared" si="2"/>
        <v>0.2991955993337323</v>
      </c>
      <c r="F9" s="1">
        <f t="shared" si="3"/>
        <v>3.2804400666267719E-2</v>
      </c>
      <c r="G9" s="1">
        <f t="shared" si="4"/>
        <v>1.076128703073026E-3</v>
      </c>
    </row>
    <row r="10" spans="1:9" x14ac:dyDescent="0.35">
      <c r="A10" s="1">
        <v>6.51</v>
      </c>
      <c r="B10" s="1">
        <v>0.20300000000000001</v>
      </c>
      <c r="C10" s="1">
        <f t="shared" si="0"/>
        <v>0.482032653061224</v>
      </c>
      <c r="D10" s="1">
        <f t="shared" si="1"/>
        <v>8.3975510204081574E-2</v>
      </c>
      <c r="E10" s="1">
        <f t="shared" si="2"/>
        <v>0.30116488878067021</v>
      </c>
      <c r="F10" s="1">
        <f t="shared" si="3"/>
        <v>-9.8164888780670201E-2</v>
      </c>
      <c r="G10" s="1">
        <f t="shared" si="4"/>
        <v>9.6363453893213505E-3</v>
      </c>
    </row>
    <row r="11" spans="1:9" x14ac:dyDescent="0.35">
      <c r="A11" s="1">
        <v>6.65</v>
      </c>
      <c r="B11" s="1">
        <v>0.252</v>
      </c>
      <c r="C11" s="1">
        <f t="shared" si="0"/>
        <v>0.30723265306122349</v>
      </c>
      <c r="D11" s="1">
        <f t="shared" si="1"/>
        <v>3.9882176870748222E-2</v>
      </c>
      <c r="E11" s="1">
        <f t="shared" si="2"/>
        <v>0.30575989749019217</v>
      </c>
      <c r="F11" s="1">
        <f t="shared" si="3"/>
        <v>-5.3759897490192166E-2</v>
      </c>
      <c r="G11" s="1">
        <f t="shared" si="4"/>
        <v>2.89012657815597E-3</v>
      </c>
    </row>
    <row r="12" spans="1:9" x14ac:dyDescent="0.35">
      <c r="A12" s="1">
        <v>6.75</v>
      </c>
      <c r="B12" s="1">
        <v>0.34200000000000003</v>
      </c>
      <c r="C12" s="1">
        <f t="shared" si="0"/>
        <v>0.20637551020408113</v>
      </c>
      <c r="D12" s="1">
        <f t="shared" si="1"/>
        <v>-8.1987755102040909E-3</v>
      </c>
      <c r="E12" s="1">
        <f t="shared" si="2"/>
        <v>0.30904204656842205</v>
      </c>
      <c r="F12" s="1">
        <f t="shared" si="3"/>
        <v>3.295795343157798E-2</v>
      </c>
      <c r="G12" s="1">
        <f t="shared" si="4"/>
        <v>1.0862266943980627E-3</v>
      </c>
    </row>
    <row r="13" spans="1:9" x14ac:dyDescent="0.35">
      <c r="A13" s="1">
        <v>6.81</v>
      </c>
      <c r="B13" s="1">
        <v>0.47099999999999997</v>
      </c>
      <c r="C13" s="1">
        <f t="shared" si="0"/>
        <v>0.1554612244897958</v>
      </c>
      <c r="D13" s="1">
        <f t="shared" si="1"/>
        <v>-5.7978775510204056E-2</v>
      </c>
      <c r="E13" s="1">
        <f t="shared" si="2"/>
        <v>0.31101133601536002</v>
      </c>
      <c r="F13" s="1">
        <f t="shared" si="3"/>
        <v>0.15998866398463996</v>
      </c>
      <c r="G13" s="1">
        <f t="shared" si="4"/>
        <v>2.5596372603590031E-2</v>
      </c>
    </row>
    <row r="14" spans="1:9" x14ac:dyDescent="0.35">
      <c r="A14" s="1">
        <v>7.56</v>
      </c>
      <c r="B14" s="1">
        <v>0.43099999999999999</v>
      </c>
      <c r="C14" s="1">
        <f t="shared" si="0"/>
        <v>0.1265326530612246</v>
      </c>
      <c r="D14" s="1">
        <f t="shared" si="1"/>
        <v>3.8078367346938799E-2</v>
      </c>
      <c r="E14" s="1">
        <f t="shared" si="2"/>
        <v>0.33562745410208461</v>
      </c>
      <c r="F14" s="1">
        <f t="shared" si="3"/>
        <v>9.5372545897915384E-2</v>
      </c>
      <c r="G14" s="1">
        <f t="shared" si="4"/>
        <v>9.095922511049976E-3</v>
      </c>
    </row>
    <row r="15" spans="1:9" x14ac:dyDescent="0.35">
      <c r="A15" s="1">
        <v>7.83</v>
      </c>
      <c r="B15" s="1">
        <v>0.312</v>
      </c>
      <c r="C15" s="1">
        <f t="shared" si="0"/>
        <v>0.39151836734693957</v>
      </c>
      <c r="D15" s="1">
        <f t="shared" si="1"/>
        <v>-7.4787755102040795E-3</v>
      </c>
      <c r="E15" s="1">
        <f t="shared" si="2"/>
        <v>0.34448925661330543</v>
      </c>
      <c r="F15" s="1">
        <f t="shared" si="3"/>
        <v>-3.2489256613305428E-2</v>
      </c>
      <c r="G15" s="1">
        <f t="shared" si="4"/>
        <v>1.0555517952852106E-3</v>
      </c>
    </row>
    <row r="16" spans="1:9" x14ac:dyDescent="0.35">
      <c r="A16" s="1">
        <v>8.02</v>
      </c>
      <c r="B16" s="1">
        <v>0.30399999999999999</v>
      </c>
      <c r="C16" s="1">
        <f t="shared" si="0"/>
        <v>0.66538979591836755</v>
      </c>
      <c r="D16" s="1">
        <f t="shared" si="1"/>
        <v>-1.6275442176870745E-2</v>
      </c>
      <c r="E16" s="1">
        <f t="shared" si="2"/>
        <v>0.35072533986194232</v>
      </c>
      <c r="F16" s="1">
        <f t="shared" si="3"/>
        <v>-4.6725339861942328E-2</v>
      </c>
      <c r="G16" s="1">
        <f t="shared" si="4"/>
        <v>2.1832573852140166E-3</v>
      </c>
    </row>
    <row r="17" spans="1:7" x14ac:dyDescent="0.35">
      <c r="A17" s="1">
        <v>8.06</v>
      </c>
      <c r="B17" s="1">
        <v>0.37</v>
      </c>
      <c r="C17" s="1">
        <f t="shared" si="0"/>
        <v>0.73224693877551195</v>
      </c>
      <c r="D17" s="1">
        <f t="shared" si="1"/>
        <v>3.9403605442176928E-2</v>
      </c>
      <c r="E17" s="1">
        <f t="shared" si="2"/>
        <v>0.35203819949323434</v>
      </c>
      <c r="F17" s="1">
        <f t="shared" si="3"/>
        <v>1.7961800506765657E-2</v>
      </c>
      <c r="G17" s="1">
        <f t="shared" si="4"/>
        <v>3.22626277444847E-4</v>
      </c>
    </row>
    <row r="18" spans="1:7" x14ac:dyDescent="0.35">
      <c r="A18" s="1">
        <v>8.18</v>
      </c>
      <c r="B18" s="1">
        <v>0.38100000000000001</v>
      </c>
      <c r="C18" s="1">
        <f t="shared" si="0"/>
        <v>0.95201836734693934</v>
      </c>
      <c r="D18" s="1">
        <f t="shared" si="1"/>
        <v>5.5662176870748335E-2</v>
      </c>
      <c r="E18" s="1">
        <f t="shared" si="2"/>
        <v>0.35597677838711017</v>
      </c>
      <c r="F18" s="1">
        <f t="shared" si="3"/>
        <v>2.5023221612889834E-2</v>
      </c>
      <c r="G18" s="1">
        <f t="shared" si="4"/>
        <v>6.2616161988779688E-4</v>
      </c>
    </row>
    <row r="19" spans="1:7" x14ac:dyDescent="0.35">
      <c r="A19" s="1">
        <v>9.08</v>
      </c>
      <c r="B19" s="1">
        <v>0.43</v>
      </c>
      <c r="C19" s="1">
        <f t="shared" si="0"/>
        <v>3.5183040816326554</v>
      </c>
      <c r="D19" s="1">
        <f t="shared" si="1"/>
        <v>0.19891503401360552</v>
      </c>
      <c r="E19" s="1">
        <f t="shared" si="2"/>
        <v>0.38551612009117975</v>
      </c>
      <c r="F19" s="1">
        <f t="shared" si="3"/>
        <v>4.4483879908820245E-2</v>
      </c>
      <c r="G19" s="1">
        <f t="shared" si="4"/>
        <v>1.9788155717423415E-3</v>
      </c>
    </row>
    <row r="20" spans="1:7" x14ac:dyDescent="0.35">
      <c r="A20" s="1">
        <v>9.15</v>
      </c>
      <c r="B20" s="1">
        <v>0.43</v>
      </c>
      <c r="C20" s="1">
        <f t="shared" si="0"/>
        <v>3.7858040816326564</v>
      </c>
      <c r="D20" s="1">
        <f t="shared" si="1"/>
        <v>0.20633836734693889</v>
      </c>
      <c r="E20" s="1">
        <f t="shared" si="2"/>
        <v>0.3878136244459407</v>
      </c>
      <c r="F20" s="1">
        <f t="shared" si="3"/>
        <v>4.2186375554059297E-2</v>
      </c>
      <c r="G20" s="1">
        <f t="shared" si="4"/>
        <v>1.7796902823881318E-3</v>
      </c>
    </row>
    <row r="21" spans="1:7" x14ac:dyDescent="0.35">
      <c r="A21" s="1">
        <v>9.35</v>
      </c>
      <c r="B21" s="1">
        <v>0.21299999999999999</v>
      </c>
      <c r="C21" s="1">
        <f t="shared" si="0"/>
        <v>4.6040897959183678</v>
      </c>
      <c r="D21" s="1">
        <f t="shared" si="1"/>
        <v>-0.23807210884353741</v>
      </c>
      <c r="E21" s="1">
        <f t="shared" si="2"/>
        <v>0.39437792260240057</v>
      </c>
      <c r="F21" s="1">
        <f t="shared" si="3"/>
        <v>-0.18137792260240057</v>
      </c>
      <c r="G21" s="1">
        <f t="shared" si="4"/>
        <v>3.2897950807562415E-2</v>
      </c>
    </row>
    <row r="22" spans="1:7" x14ac:dyDescent="0.35">
      <c r="A22" s="1">
        <v>9.42</v>
      </c>
      <c r="B22" s="1">
        <v>0.50800000000000001</v>
      </c>
      <c r="C22" s="1">
        <f t="shared" si="0"/>
        <v>4.9093897959183694</v>
      </c>
      <c r="D22" s="1">
        <f t="shared" si="1"/>
        <v>0.40779693877551032</v>
      </c>
      <c r="E22" s="1">
        <f t="shared" si="2"/>
        <v>0.39667542695716151</v>
      </c>
      <c r="F22" s="1">
        <f t="shared" si="3"/>
        <v>0.11132457304283849</v>
      </c>
      <c r="G22" s="1">
        <f t="shared" si="4"/>
        <v>1.2393160563170283E-2</v>
      </c>
    </row>
    <row r="23" spans="1:7" x14ac:dyDescent="0.35">
      <c r="A23" s="1">
        <v>9.9499999999999993</v>
      </c>
      <c r="B23" s="1">
        <v>0.41099999999999998</v>
      </c>
      <c r="C23" s="1">
        <f t="shared" si="0"/>
        <v>7.538946938775509</v>
      </c>
      <c r="D23" s="1">
        <f t="shared" si="1"/>
        <v>0.23900789115646254</v>
      </c>
      <c r="E23" s="1">
        <f t="shared" si="2"/>
        <v>0.41407081707178017</v>
      </c>
      <c r="F23" s="1">
        <f t="shared" si="3"/>
        <v>-3.0708170717801964E-3</v>
      </c>
      <c r="G23" s="1">
        <f t="shared" si="4"/>
        <v>9.429917488336699E-6</v>
      </c>
    </row>
    <row r="24" spans="1:7" x14ac:dyDescent="0.35">
      <c r="C24" s="3">
        <f t="shared" ref="C24:D24" si="5">SUM(C3:C23)</f>
        <v>57.966114285714283</v>
      </c>
      <c r="D24" s="3">
        <f t="shared" si="5"/>
        <v>1.9025342857142855</v>
      </c>
      <c r="G24" s="3">
        <f>SUM(G3:G23)</f>
        <v>0.12471894085937238</v>
      </c>
    </row>
    <row r="27" spans="1:7" x14ac:dyDescent="0.35">
      <c r="A27" s="3" t="s">
        <v>2</v>
      </c>
      <c r="B27" s="3" t="s">
        <v>3</v>
      </c>
      <c r="C27" s="3" t="s">
        <v>6</v>
      </c>
      <c r="D27" s="3" t="s">
        <v>7</v>
      </c>
    </row>
    <row r="28" spans="1:7" x14ac:dyDescent="0.35">
      <c r="A28" s="1">
        <f>AVERAGE(A3:A23)</f>
        <v>7.2042857142857137</v>
      </c>
      <c r="B28" s="1">
        <f>AVERAGE(B3:B23)</f>
        <v>0.32395238095238094</v>
      </c>
      <c r="C28" s="1">
        <f>D24/C24</f>
        <v>3.2821490782299408E-2</v>
      </c>
      <c r="D28" s="1">
        <f>B28-A28*C28</f>
        <v>8.7496983787901078E-2</v>
      </c>
    </row>
    <row r="30" spans="1:7" x14ac:dyDescent="0.35">
      <c r="A30" s="6" t="s">
        <v>36</v>
      </c>
      <c r="B30" s="3" t="s">
        <v>35</v>
      </c>
      <c r="C30" s="3" t="s">
        <v>13</v>
      </c>
      <c r="D30" s="3" t="s">
        <v>14</v>
      </c>
    </row>
    <row r="31" spans="1:7" x14ac:dyDescent="0.35">
      <c r="A31" s="1">
        <f>_xlfn.VAR.S(A2:A23)</f>
        <v>2.8983057142857205</v>
      </c>
      <c r="B31" s="1">
        <f>SQRT(G24/(A34-2))</f>
        <v>8.1019471623013137E-2</v>
      </c>
      <c r="C31" s="1">
        <f>B31*SQRT(1/(A34*A31^2))</f>
        <v>6.1000804982251303E-3</v>
      </c>
      <c r="D31" s="1">
        <f>B31*SQRT(1/A34+A28^2/(A34*A31^2))</f>
        <v>4.7369750295635032E-2</v>
      </c>
    </row>
    <row r="33" spans="1:8" x14ac:dyDescent="0.35">
      <c r="A33" s="3" t="s">
        <v>12</v>
      </c>
      <c r="C33" s="3" t="s">
        <v>15</v>
      </c>
      <c r="D33" s="3" t="s">
        <v>16</v>
      </c>
    </row>
    <row r="34" spans="1:8" x14ac:dyDescent="0.35">
      <c r="A34" s="1">
        <f>ROWS(A3:A23)</f>
        <v>21</v>
      </c>
      <c r="C34" s="1">
        <f>C28/C31</f>
        <v>5.380501255983277</v>
      </c>
      <c r="D34" s="1">
        <f>D28/D31</f>
        <v>1.8471067135003167</v>
      </c>
    </row>
    <row r="36" spans="1:8" x14ac:dyDescent="0.35">
      <c r="C36" s="7" t="s">
        <v>21</v>
      </c>
      <c r="D36" s="7"/>
      <c r="E36" s="7"/>
      <c r="F36" s="7" t="s">
        <v>22</v>
      </c>
      <c r="G36" s="7"/>
      <c r="H36" s="7"/>
    </row>
    <row r="37" spans="1:8" x14ac:dyDescent="0.35">
      <c r="A37" s="3" t="s">
        <v>0</v>
      </c>
      <c r="B37" s="3" t="s">
        <v>17</v>
      </c>
      <c r="C37" s="3" t="s">
        <v>31</v>
      </c>
      <c r="D37" s="3" t="s">
        <v>30</v>
      </c>
      <c r="E37" s="3" t="s">
        <v>29</v>
      </c>
      <c r="F37" s="3" t="s">
        <v>34</v>
      </c>
      <c r="G37" s="3" t="s">
        <v>33</v>
      </c>
      <c r="H37" s="3" t="s">
        <v>32</v>
      </c>
    </row>
    <row r="38" spans="1:8" x14ac:dyDescent="0.35">
      <c r="A38" s="1">
        <v>-10</v>
      </c>
      <c r="B38" s="1">
        <f>$D$28+$C$28*A38</f>
        <v>-0.24071792403509298</v>
      </c>
      <c r="C38" s="1">
        <f>$B$31*SQRT(1/$A$34+(A38-$A$28)^2/(($A$34-1)*$A$31))</f>
        <v>0.18393087000231012</v>
      </c>
      <c r="D38" s="1">
        <f>B38-_xlfn.T.INV(0.99, 19)*C38</f>
        <v>-0.70780727664280052</v>
      </c>
      <c r="E38" s="1">
        <f>B38+_xlfn.T.INV(0.99, 19)*C38</f>
        <v>0.22637142857261458</v>
      </c>
      <c r="F38" s="1">
        <f>$B$31*SQRT(1+1/$A$34+(A38-$A$28)^2/(($A$34-1)*$A$31))</f>
        <v>0.20098437681043507</v>
      </c>
      <c r="G38" s="1">
        <f>B38-_xlfn.T.INV(0.99, 19)*F38</f>
        <v>-0.75111437052322505</v>
      </c>
      <c r="H38" s="1">
        <f>B38+_xlfn.T.INV(0.99, 19)*F38</f>
        <v>0.26967852245303914</v>
      </c>
    </row>
    <row r="39" spans="1:8" x14ac:dyDescent="0.35">
      <c r="A39" s="1">
        <v>-8</v>
      </c>
      <c r="B39" s="1">
        <f t="shared" ref="B39:B44" si="6">$D$28+$C$28*A39</f>
        <v>-0.17507494247049418</v>
      </c>
      <c r="C39" s="1">
        <f t="shared" ref="C39:C57" si="7">$B$31*SQRT(1/$A$34+(A39-$A$28)^2/(($A$34-1)*$A$31))</f>
        <v>0.1627593044116582</v>
      </c>
      <c r="D39" s="1">
        <f t="shared" ref="D39:D44" si="8">B39-_xlfn.T.INV(0.99, 19)*C39</f>
        <v>-0.58839946014154854</v>
      </c>
      <c r="E39" s="1">
        <f t="shared" ref="E39:E44" si="9">B39+_xlfn.T.INV(0.99, 19)*C39</f>
        <v>0.23824957520056014</v>
      </c>
      <c r="F39" s="1">
        <f t="shared" ref="F39:F57" si="10">$B$31*SQRT(1+1/$A$34+(A39-$A$28)^2/(($A$34-1)*$A$31))</f>
        <v>0.18180964208379891</v>
      </c>
      <c r="G39" s="1">
        <f t="shared" ref="G39:G44" si="11">B39-_xlfn.T.INV(0.99, 19)*F39</f>
        <v>-0.63677747243566019</v>
      </c>
      <c r="H39" s="1">
        <f t="shared" ref="H39:H44" si="12">B39+_xlfn.T.INV(0.99, 19)*F39</f>
        <v>0.28662758749467188</v>
      </c>
    </row>
    <row r="40" spans="1:8" x14ac:dyDescent="0.35">
      <c r="A40" s="1">
        <v>-6</v>
      </c>
      <c r="B40" s="1">
        <f t="shared" si="6"/>
        <v>-0.10943196090589538</v>
      </c>
      <c r="C40" s="1">
        <f t="shared" si="7"/>
        <v>0.14162114016705374</v>
      </c>
      <c r="D40" s="1">
        <f t="shared" si="8"/>
        <v>-0.46907646579712825</v>
      </c>
      <c r="E40" s="1">
        <f t="shared" si="9"/>
        <v>0.25021254398533743</v>
      </c>
      <c r="F40" s="1">
        <f t="shared" si="10"/>
        <v>0.16315851839327458</v>
      </c>
      <c r="G40" s="1">
        <f t="shared" si="11"/>
        <v>-0.52377027577272661</v>
      </c>
      <c r="H40" s="1">
        <f t="shared" si="12"/>
        <v>0.30490635396093579</v>
      </c>
    </row>
    <row r="41" spans="1:8" x14ac:dyDescent="0.35">
      <c r="A41" s="1">
        <v>-4</v>
      </c>
      <c r="B41" s="1">
        <f t="shared" si="6"/>
        <v>-4.3788979341296552E-2</v>
      </c>
      <c r="C41" s="1">
        <f t="shared" si="7"/>
        <v>0.12053395143591321</v>
      </c>
      <c r="D41" s="1">
        <f t="shared" si="8"/>
        <v>-0.34988292291228301</v>
      </c>
      <c r="E41" s="1">
        <f t="shared" si="9"/>
        <v>0.26230496422968991</v>
      </c>
      <c r="F41" s="1">
        <f t="shared" si="10"/>
        <v>0.14523287586089906</v>
      </c>
      <c r="G41" s="1">
        <f t="shared" si="11"/>
        <v>-0.41260542631602615</v>
      </c>
      <c r="H41" s="1">
        <f t="shared" si="12"/>
        <v>0.32502746763343304</v>
      </c>
    </row>
    <row r="42" spans="1:8" x14ac:dyDescent="0.35">
      <c r="A42" s="1">
        <v>-2</v>
      </c>
      <c r="B42" s="1">
        <f t="shared" si="6"/>
        <v>2.1854002223302263E-2</v>
      </c>
      <c r="C42" s="1">
        <f t="shared" si="7"/>
        <v>9.9530143635901763E-2</v>
      </c>
      <c r="D42" s="1">
        <f t="shared" si="8"/>
        <v>-0.23090112450045869</v>
      </c>
      <c r="E42" s="1">
        <f t="shared" si="9"/>
        <v>0.27460912894706319</v>
      </c>
      <c r="F42" s="1">
        <f t="shared" si="10"/>
        <v>0.12833707287551585</v>
      </c>
      <c r="G42" s="1">
        <f t="shared" si="11"/>
        <v>-0.30405583707795258</v>
      </c>
      <c r="H42" s="1">
        <f t="shared" si="12"/>
        <v>0.34776384152455708</v>
      </c>
    </row>
    <row r="43" spans="1:8" x14ac:dyDescent="0.35">
      <c r="A43" s="1">
        <v>0</v>
      </c>
      <c r="B43" s="1">
        <f t="shared" si="6"/>
        <v>8.7496983787901078E-2</v>
      </c>
      <c r="C43" s="1">
        <f t="shared" si="7"/>
        <v>7.8676524278216087E-2</v>
      </c>
      <c r="D43" s="1">
        <f t="shared" si="8"/>
        <v>-0.11230072711334665</v>
      </c>
      <c r="E43" s="1">
        <f t="shared" si="9"/>
        <v>0.28729469468914881</v>
      </c>
      <c r="F43" s="1">
        <f t="shared" si="10"/>
        <v>0.11293427404722163</v>
      </c>
      <c r="G43" s="1">
        <f t="shared" si="11"/>
        <v>-0.19929770680033812</v>
      </c>
      <c r="H43" s="1">
        <f t="shared" si="12"/>
        <v>0.3742916743761403</v>
      </c>
    </row>
    <row r="44" spans="1:8" x14ac:dyDescent="0.35">
      <c r="A44" s="1">
        <v>2</v>
      </c>
      <c r="B44" s="1">
        <f t="shared" si="6"/>
        <v>0.15313996535249991</v>
      </c>
      <c r="C44" s="1">
        <f t="shared" si="7"/>
        <v>5.8134941211869844E-2</v>
      </c>
      <c r="D44" s="1">
        <f t="shared" si="8"/>
        <v>5.5072593570442696E-3</v>
      </c>
      <c r="E44" s="1">
        <f t="shared" si="9"/>
        <v>0.30077267134795554</v>
      </c>
      <c r="F44" s="1">
        <f t="shared" si="10"/>
        <v>9.971873530976913E-2</v>
      </c>
      <c r="G44" s="1">
        <f t="shared" si="11"/>
        <v>-0.10009408675693887</v>
      </c>
      <c r="H44" s="1">
        <f t="shared" si="12"/>
        <v>0.40637401746193869</v>
      </c>
    </row>
    <row r="45" spans="1:8" x14ac:dyDescent="0.35">
      <c r="A45" s="5">
        <v>3</v>
      </c>
      <c r="B45" s="1">
        <f>$D$28+$C$28*A45</f>
        <v>0.18596145613479931</v>
      </c>
      <c r="C45" s="1">
        <f t="shared" si="7"/>
        <v>4.8106476431396289E-2</v>
      </c>
      <c r="D45" s="1">
        <f>B45-_xlfn.T.INV(0.99, 19)*C45</f>
        <v>6.3795867877120674E-2</v>
      </c>
      <c r="E45" s="1">
        <f>B45+_xlfn.T.INV(0.99, 19)*C45</f>
        <v>0.30812704439247796</v>
      </c>
      <c r="F45" s="1">
        <f t="shared" si="10"/>
        <v>9.4225197567936778E-2</v>
      </c>
      <c r="G45" s="1">
        <f>B45-_xlfn.T.INV(0.99, 19)*F45</f>
        <v>-5.3321849222197903E-2</v>
      </c>
      <c r="H45" s="1">
        <f>B45+_xlfn.T.INV(0.99, 19)*F45</f>
        <v>0.42524476149179652</v>
      </c>
    </row>
    <row r="46" spans="1:8" x14ac:dyDescent="0.35">
      <c r="A46" s="5">
        <v>4</v>
      </c>
      <c r="B46" s="1">
        <f t="shared" ref="B46:B51" si="13">$D$28+$C$28*A46</f>
        <v>0.21878294691709871</v>
      </c>
      <c r="C46" s="1">
        <f t="shared" si="7"/>
        <v>3.8409337976639826E-2</v>
      </c>
      <c r="D46" s="1">
        <f t="shared" ref="D46:D51" si="14">B46-_xlfn.T.INV(0.99, 19)*C46</f>
        <v>0.12124307876242732</v>
      </c>
      <c r="E46" s="1">
        <f t="shared" ref="E46:E51" si="15">B46+_xlfn.T.INV(0.99, 19)*C46</f>
        <v>0.31632281507177007</v>
      </c>
      <c r="F46" s="1">
        <f t="shared" si="10"/>
        <v>8.9662879866062611E-2</v>
      </c>
      <c r="G46" s="1">
        <f t="shared" ref="G46:G51" si="16">B46-_xlfn.T.INV(0.99, 19)*F46</f>
        <v>-8.9144293257029106E-3</v>
      </c>
      <c r="H46" s="1">
        <f t="shared" ref="H46:H51" si="17">B46+_xlfn.T.INV(0.99, 19)*F46</f>
        <v>0.44648032315990033</v>
      </c>
    </row>
    <row r="47" spans="1:8" x14ac:dyDescent="0.35">
      <c r="A47" s="5">
        <v>5</v>
      </c>
      <c r="B47" s="1">
        <f t="shared" si="13"/>
        <v>0.25160443769939811</v>
      </c>
      <c r="C47" s="1">
        <f t="shared" si="7"/>
        <v>2.9373523744783202E-2</v>
      </c>
      <c r="D47" s="1">
        <f t="shared" si="14"/>
        <v>0.17701086790012738</v>
      </c>
      <c r="E47" s="1">
        <f t="shared" si="15"/>
        <v>0.32619800749866884</v>
      </c>
      <c r="F47" s="1">
        <f t="shared" si="10"/>
        <v>8.6179804358431755E-2</v>
      </c>
      <c r="G47" s="1">
        <f t="shared" si="16"/>
        <v>3.2752273159899065E-2</v>
      </c>
      <c r="H47" s="1">
        <f t="shared" si="17"/>
        <v>0.47045660223889718</v>
      </c>
    </row>
    <row r="48" spans="1:8" x14ac:dyDescent="0.35">
      <c r="A48" s="5">
        <v>6</v>
      </c>
      <c r="B48" s="1">
        <f t="shared" si="13"/>
        <v>0.28442592848169757</v>
      </c>
      <c r="C48" s="1">
        <f t="shared" si="7"/>
        <v>2.1836048973870599E-2</v>
      </c>
      <c r="D48" s="1">
        <f t="shared" si="14"/>
        <v>0.22897364916291157</v>
      </c>
      <c r="E48" s="1">
        <f t="shared" si="15"/>
        <v>0.33987820780048356</v>
      </c>
      <c r="F48" s="1">
        <f t="shared" si="10"/>
        <v>8.3910475012727151E-2</v>
      </c>
      <c r="G48" s="1">
        <f t="shared" si="16"/>
        <v>7.1336687669605048E-2</v>
      </c>
      <c r="H48" s="1">
        <f t="shared" si="17"/>
        <v>0.49751516929379008</v>
      </c>
    </row>
    <row r="49" spans="1:8" x14ac:dyDescent="0.35">
      <c r="A49" s="5">
        <v>7</v>
      </c>
      <c r="B49" s="1">
        <f t="shared" si="13"/>
        <v>0.31724741926399691</v>
      </c>
      <c r="C49" s="1">
        <f t="shared" si="7"/>
        <v>1.7813047370271718E-2</v>
      </c>
      <c r="D49" s="1">
        <f t="shared" si="14"/>
        <v>0.27201148489340354</v>
      </c>
      <c r="E49" s="1">
        <f t="shared" si="15"/>
        <v>0.36248335363459028</v>
      </c>
      <c r="F49" s="1">
        <f t="shared" si="10"/>
        <v>8.2954562494704134E-2</v>
      </c>
      <c r="G49" s="1">
        <f t="shared" si="16"/>
        <v>0.10658570222313088</v>
      </c>
      <c r="H49" s="1">
        <f t="shared" si="17"/>
        <v>0.52790913630486291</v>
      </c>
    </row>
    <row r="50" spans="1:8" x14ac:dyDescent="0.35">
      <c r="A50" s="5">
        <v>8</v>
      </c>
      <c r="B50" s="1">
        <f t="shared" si="13"/>
        <v>0.35006891004629637</v>
      </c>
      <c r="C50" s="1">
        <f t="shared" si="7"/>
        <v>1.9603029425681876E-2</v>
      </c>
      <c r="D50" s="1">
        <f t="shared" si="14"/>
        <v>0.30028734633447035</v>
      </c>
      <c r="E50" s="1">
        <f t="shared" si="15"/>
        <v>0.39985047375812238</v>
      </c>
      <c r="F50" s="1">
        <f t="shared" si="10"/>
        <v>8.335726449888084E-2</v>
      </c>
      <c r="G50" s="1">
        <f t="shared" si="16"/>
        <v>0.13838453803499301</v>
      </c>
      <c r="H50" s="1">
        <f t="shared" si="17"/>
        <v>0.56175328205759967</v>
      </c>
    </row>
    <row r="51" spans="1:8" x14ac:dyDescent="0.35">
      <c r="A51" s="5">
        <v>9</v>
      </c>
      <c r="B51" s="1">
        <f t="shared" si="13"/>
        <v>0.38289040082859571</v>
      </c>
      <c r="C51" s="1">
        <f t="shared" si="7"/>
        <v>2.6033350781931457E-2</v>
      </c>
      <c r="D51" s="1">
        <f t="shared" si="14"/>
        <v>0.3167791441222636</v>
      </c>
      <c r="E51" s="1">
        <f t="shared" si="15"/>
        <v>0.44900165753492782</v>
      </c>
      <c r="F51" s="1">
        <f t="shared" si="10"/>
        <v>8.5099295737434397E-2</v>
      </c>
      <c r="G51" s="1">
        <f t="shared" si="16"/>
        <v>0.16678216976944374</v>
      </c>
      <c r="H51" s="1">
        <f t="shared" si="17"/>
        <v>0.59899863188774771</v>
      </c>
    </row>
    <row r="52" spans="1:8" x14ac:dyDescent="0.35">
      <c r="A52" s="1">
        <v>10</v>
      </c>
      <c r="B52" s="1">
        <f>$D$28+$C$28*A52</f>
        <v>0.41571189161089517</v>
      </c>
      <c r="C52" s="1">
        <f t="shared" si="7"/>
        <v>3.4607433123945631E-2</v>
      </c>
      <c r="D52" s="1">
        <f>B52-_xlfn.T.INV(0.99, 19)*C52</f>
        <v>0.32782689692199235</v>
      </c>
      <c r="E52" s="1">
        <f>B52+_xlfn.T.INV(0.99, 19)*C52</f>
        <v>0.50359688629979793</v>
      </c>
      <c r="F52" s="1">
        <f t="shared" si="10"/>
        <v>8.8101244085998009E-2</v>
      </c>
      <c r="G52" s="1">
        <f>B52-_xlfn.T.INV(0.99, 19)*F52</f>
        <v>0.19198026318144454</v>
      </c>
      <c r="H52" s="1">
        <f>B52+_xlfn.T.INV(0.99, 19)*F52</f>
        <v>0.63944352004034577</v>
      </c>
    </row>
    <row r="53" spans="1:8" x14ac:dyDescent="0.35">
      <c r="A53" s="1">
        <v>12</v>
      </c>
      <c r="B53" s="1">
        <f>$D$28+$C$28*A53</f>
        <v>0.48135487317549397</v>
      </c>
      <c r="C53" s="1">
        <f t="shared" si="7"/>
        <v>5.4009258734794112E-2</v>
      </c>
      <c r="D53" s="1">
        <f>B53-_xlfn.T.INV(0.99, 19)*C53</f>
        <v>0.34419926848042398</v>
      </c>
      <c r="E53" s="1">
        <f>B53+_xlfn.T.INV(0.99, 19)*C53</f>
        <v>0.6185104778705639</v>
      </c>
      <c r="F53" s="1">
        <f t="shared" si="10"/>
        <v>9.7371221678451622E-2</v>
      </c>
      <c r="G53" s="1">
        <f>B53-_xlfn.T.INV(0.99, 19)*F53</f>
        <v>0.23408229247254661</v>
      </c>
      <c r="H53" s="1">
        <f>B53+_xlfn.T.INV(0.99, 19)*F53</f>
        <v>0.7286274538784413</v>
      </c>
    </row>
    <row r="54" spans="1:8" x14ac:dyDescent="0.35">
      <c r="A54" s="1">
        <v>14</v>
      </c>
      <c r="B54" s="1">
        <f t="shared" ref="B54:B57" si="18">$D$28+$C$28*A54</f>
        <v>0.54699785474009277</v>
      </c>
      <c r="C54" s="1">
        <f t="shared" si="7"/>
        <v>7.4446326757099612E-2</v>
      </c>
      <c r="D54" s="1">
        <f t="shared" ref="D54:D57" si="19">B54-_xlfn.T.INV(0.99, 19)*C54</f>
        <v>0.35794265933673947</v>
      </c>
      <c r="E54" s="1">
        <f t="shared" ref="E54:E57" si="20">B54+_xlfn.T.INV(0.99, 19)*C54</f>
        <v>0.73605305014344613</v>
      </c>
      <c r="F54" s="1">
        <f t="shared" si="10"/>
        <v>0.1100291340950072</v>
      </c>
      <c r="G54" s="1">
        <f t="shared" ref="G54:G57" si="21">B54-_xlfn.T.INV(0.99, 19)*F54</f>
        <v>0.26758071822691221</v>
      </c>
      <c r="H54" s="1">
        <f t="shared" ref="H54:H57" si="22">B54+_xlfn.T.INV(0.99, 19)*F54</f>
        <v>0.82641499125327333</v>
      </c>
    </row>
    <row r="55" spans="1:8" x14ac:dyDescent="0.35">
      <c r="A55" s="1">
        <v>16</v>
      </c>
      <c r="B55" s="1">
        <f t="shared" si="18"/>
        <v>0.61264083630469157</v>
      </c>
      <c r="C55" s="1">
        <f t="shared" si="7"/>
        <v>9.5254611662937888E-2</v>
      </c>
      <c r="D55" s="1">
        <f t="shared" si="19"/>
        <v>0.37074335115724766</v>
      </c>
      <c r="E55" s="1">
        <f t="shared" si="20"/>
        <v>0.85453832145213549</v>
      </c>
      <c r="F55" s="1">
        <f t="shared" si="10"/>
        <v>0.12505037315070008</v>
      </c>
      <c r="G55" s="1">
        <f t="shared" si="21"/>
        <v>0.29507751570723478</v>
      </c>
      <c r="H55" s="1">
        <f t="shared" si="22"/>
        <v>0.93020415690214842</v>
      </c>
    </row>
    <row r="56" spans="1:8" x14ac:dyDescent="0.35">
      <c r="A56" s="1">
        <v>18</v>
      </c>
      <c r="B56" s="1">
        <f t="shared" si="18"/>
        <v>0.67828381786929037</v>
      </c>
      <c r="C56" s="1">
        <f t="shared" si="7"/>
        <v>0.11623491925999993</v>
      </c>
      <c r="D56" s="1">
        <f t="shared" si="19"/>
        <v>0.38310719424498724</v>
      </c>
      <c r="E56" s="1">
        <f t="shared" si="20"/>
        <v>0.97346044149359345</v>
      </c>
      <c r="F56" s="1">
        <f t="shared" si="10"/>
        <v>0.14168525412847638</v>
      </c>
      <c r="G56" s="1">
        <f t="shared" si="21"/>
        <v>0.3184764966507404</v>
      </c>
      <c r="H56" s="1">
        <f t="shared" si="22"/>
        <v>1.0380911390878405</v>
      </c>
    </row>
    <row r="57" spans="1:8" x14ac:dyDescent="0.35">
      <c r="A57" s="1">
        <v>20</v>
      </c>
      <c r="B57" s="1">
        <f t="shared" si="18"/>
        <v>0.74392679943388917</v>
      </c>
      <c r="C57" s="1">
        <f t="shared" si="7"/>
        <v>0.13730841854959094</v>
      </c>
      <c r="D57" s="1">
        <f t="shared" si="19"/>
        <v>0.39523437859604366</v>
      </c>
      <c r="E57" s="1">
        <f t="shared" si="20"/>
        <v>1.0926192202717346</v>
      </c>
      <c r="F57" s="1">
        <f t="shared" si="10"/>
        <v>0.15942947213944442</v>
      </c>
      <c r="G57" s="1">
        <f t="shared" si="21"/>
        <v>0.33905833484571896</v>
      </c>
      <c r="H57" s="1">
        <f t="shared" si="22"/>
        <v>1.1487952640220593</v>
      </c>
    </row>
    <row r="60" spans="1:8" x14ac:dyDescent="0.35">
      <c r="C60" s="7" t="s">
        <v>37</v>
      </c>
      <c r="D60" s="7"/>
      <c r="E60" s="7"/>
    </row>
    <row r="61" spans="1:8" x14ac:dyDescent="0.35">
      <c r="A61" s="3" t="s">
        <v>23</v>
      </c>
      <c r="B61" s="3" t="s">
        <v>1</v>
      </c>
      <c r="C61" s="3" t="s">
        <v>24</v>
      </c>
      <c r="D61" s="3" t="s">
        <v>18</v>
      </c>
      <c r="E61" s="3" t="s">
        <v>19</v>
      </c>
    </row>
    <row r="62" spans="1:8" x14ac:dyDescent="0.35">
      <c r="A62" s="1">
        <f>(B62-D28)/C28</f>
        <v>6.4745083525182698</v>
      </c>
      <c r="B62" s="1">
        <v>0.3</v>
      </c>
      <c r="C62" s="1">
        <f>B31*SQRT(1/A34+(A62-A28)^2/(A34-1))/C28</f>
        <v>0.67262482328406314</v>
      </c>
      <c r="D62" s="1">
        <f>A62-_xlfn.T.INV(0.99,($A$34-2))*C62</f>
        <v>4.7663889201919787</v>
      </c>
      <c r="E62" s="1">
        <f>A62+_xlfn.T.INV(0.99, ($A$34-2))*C62</f>
        <v>8.182627784844561</v>
      </c>
      <c r="H62"/>
    </row>
    <row r="63" spans="1:8" x14ac:dyDescent="0.35">
      <c r="H63"/>
    </row>
    <row r="64" spans="1:8" x14ac:dyDescent="0.35">
      <c r="C64" s="7" t="s">
        <v>38</v>
      </c>
      <c r="D64" s="7"/>
      <c r="E64" s="7"/>
    </row>
    <row r="65" spans="1:5" x14ac:dyDescent="0.35">
      <c r="A65" s="5" t="s">
        <v>23</v>
      </c>
      <c r="B65" s="5" t="s">
        <v>1</v>
      </c>
      <c r="C65" s="5" t="s">
        <v>24</v>
      </c>
      <c r="D65" s="5" t="s">
        <v>18</v>
      </c>
      <c r="E65" s="5" t="s">
        <v>19</v>
      </c>
    </row>
    <row r="66" spans="1:5" x14ac:dyDescent="0.35">
      <c r="A66" s="1">
        <f>(B62-D28)/C28</f>
        <v>6.4745083525182698</v>
      </c>
      <c r="B66" s="1">
        <v>0.3</v>
      </c>
      <c r="C66" s="1">
        <f>B31*SQRT(1+1/A34+(A62-A28)^2/(A34-1))/C28</f>
        <v>2.5584877346295443</v>
      </c>
      <c r="D66" s="1">
        <f>A66-_xlfn.T.INV(0.99,($A$34-2))*C66</f>
        <v>-2.2728242991036041E-2</v>
      </c>
      <c r="E66" s="1">
        <f>A66+_xlfn.T.INV(0.99, ($A$34-2))*C66</f>
        <v>12.971744948027576</v>
      </c>
    </row>
  </sheetData>
  <mergeCells count="4">
    <mergeCell ref="C36:E36"/>
    <mergeCell ref="F36:H36"/>
    <mergeCell ref="C60:E60"/>
    <mergeCell ref="C64:E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DD515-7D72-43F5-AA37-2F268265FFF5}">
  <dimension ref="A1:I23"/>
  <sheetViews>
    <sheetView tabSelected="1" zoomScale="115" zoomScaleNormal="115" workbookViewId="0">
      <selection activeCell="E10" sqref="E10"/>
    </sheetView>
  </sheetViews>
  <sheetFormatPr defaultColWidth="41.1796875" defaultRowHeight="14.5" x14ac:dyDescent="0.35"/>
  <cols>
    <col min="1" max="1" width="21.26953125" bestFit="1" customWidth="1"/>
    <col min="2" max="4" width="13.36328125" bestFit="1" customWidth="1"/>
    <col min="5" max="5" width="6.7265625" bestFit="1" customWidth="1"/>
    <col min="6" max="6" width="6.36328125" bestFit="1" customWidth="1"/>
    <col min="7" max="7" width="15.81640625" customWidth="1"/>
    <col min="8" max="8" width="12.453125" bestFit="1" customWidth="1"/>
    <col min="9" max="9" width="6.6328125" customWidth="1"/>
    <col min="10" max="10" width="12.453125" bestFit="1" customWidth="1"/>
    <col min="11" max="11" width="11.453125" bestFit="1" customWidth="1"/>
  </cols>
  <sheetData>
    <row r="1" spans="1:8" ht="15" thickBot="1" x14ac:dyDescent="0.4">
      <c r="A1" s="2" t="s">
        <v>59</v>
      </c>
      <c r="B1" t="s">
        <v>26</v>
      </c>
      <c r="C1" t="s">
        <v>27</v>
      </c>
      <c r="D1" t="s">
        <v>28</v>
      </c>
    </row>
    <row r="2" spans="1:8" s="2" customFormat="1" ht="15" thickBot="1" x14ac:dyDescent="0.4">
      <c r="A2" s="2" t="s">
        <v>57</v>
      </c>
      <c r="B2" s="29">
        <v>8.4927276410000001</v>
      </c>
      <c r="C2" s="29">
        <v>7.8548339780000003</v>
      </c>
      <c r="D2" s="30">
        <v>9.130621305</v>
      </c>
      <c r="E2" s="8"/>
      <c r="F2" s="32">
        <v>1000</v>
      </c>
      <c r="G2" s="33">
        <f>$B$4 + $B$9*F2</f>
        <v>74723.372018896771</v>
      </c>
    </row>
    <row r="3" spans="1:8" x14ac:dyDescent="0.35">
      <c r="A3" t="s">
        <v>61</v>
      </c>
      <c r="B3">
        <f>2^B2</f>
        <v>360.21829389900853</v>
      </c>
      <c r="C3">
        <f t="shared" ref="C3:D3" si="0">2^C2</f>
        <v>231.49447927486571</v>
      </c>
      <c r="D3">
        <f t="shared" si="0"/>
        <v>560.51971414569152</v>
      </c>
      <c r="F3" s="32">
        <v>2000</v>
      </c>
      <c r="G3" s="33">
        <f t="shared" ref="G3:G8" si="1">$B$4 + $B$9*F3</f>
        <v>113524.9146478927</v>
      </c>
    </row>
    <row r="4" spans="1:8" x14ac:dyDescent="0.35">
      <c r="A4" t="s">
        <v>62</v>
      </c>
      <c r="B4">
        <f>ABS(1-B3)*100</f>
        <v>35921.829389900849</v>
      </c>
      <c r="C4">
        <f t="shared" ref="C4:D4" si="2">ABS(1-C3)*100</f>
        <v>23049.44792748657</v>
      </c>
      <c r="D4">
        <f t="shared" si="2"/>
        <v>55951.971414569154</v>
      </c>
      <c r="F4" s="32">
        <v>3000</v>
      </c>
      <c r="G4" s="33">
        <f t="shared" si="1"/>
        <v>152326.45727688866</v>
      </c>
    </row>
    <row r="5" spans="1:8" x14ac:dyDescent="0.35">
      <c r="F5" s="32">
        <v>4000</v>
      </c>
      <c r="G5" s="33">
        <f t="shared" si="1"/>
        <v>191127.99990588456</v>
      </c>
    </row>
    <row r="6" spans="1:8" x14ac:dyDescent="0.35">
      <c r="A6" s="2" t="s">
        <v>60</v>
      </c>
      <c r="F6" s="32">
        <v>5000</v>
      </c>
      <c r="G6" s="33">
        <f t="shared" si="1"/>
        <v>229929.54253488051</v>
      </c>
    </row>
    <row r="7" spans="1:8" ht="15" thickBot="1" x14ac:dyDescent="0.4">
      <c r="A7" s="2" t="s">
        <v>58</v>
      </c>
      <c r="B7" s="29">
        <v>0.47302360199999999</v>
      </c>
      <c r="C7" s="29">
        <v>0.38369773299999999</v>
      </c>
      <c r="D7" s="30">
        <v>0.56234947099999999</v>
      </c>
      <c r="F7" s="32">
        <v>6000</v>
      </c>
      <c r="G7" s="33">
        <f t="shared" si="1"/>
        <v>268731.08516387647</v>
      </c>
    </row>
    <row r="8" spans="1:8" x14ac:dyDescent="0.35">
      <c r="A8" t="s">
        <v>63</v>
      </c>
      <c r="B8">
        <f>2^B7</f>
        <v>1.3880154262899593</v>
      </c>
      <c r="C8">
        <f t="shared" ref="C8:D8" si="3">2^C7</f>
        <v>1.3046815680156896</v>
      </c>
      <c r="D8">
        <f t="shared" si="3"/>
        <v>1.4766720637811057</v>
      </c>
      <c r="F8" s="32">
        <v>7000</v>
      </c>
      <c r="G8" s="33">
        <f t="shared" si="1"/>
        <v>307532.62779287237</v>
      </c>
    </row>
    <row r="9" spans="1:8" x14ac:dyDescent="0.35">
      <c r="A9" t="s">
        <v>61</v>
      </c>
      <c r="B9">
        <f>ABS(1-B8)*100</f>
        <v>38.801542628995932</v>
      </c>
      <c r="C9">
        <f t="shared" ref="C9" si="4">ABS(1-C8)*100</f>
        <v>30.468156801568959</v>
      </c>
      <c r="D9">
        <f t="shared" ref="D9" si="5">ABS(1-D8)*100</f>
        <v>47.667206378110571</v>
      </c>
    </row>
    <row r="11" spans="1:8" x14ac:dyDescent="0.35">
      <c r="B11" s="31" t="s">
        <v>64</v>
      </c>
    </row>
    <row r="12" spans="1:8" x14ac:dyDescent="0.35">
      <c r="B12" s="31" t="s">
        <v>65</v>
      </c>
    </row>
    <row r="13" spans="1:8" ht="15" thickBot="1" x14ac:dyDescent="0.4"/>
    <row r="14" spans="1:8" x14ac:dyDescent="0.35">
      <c r="A14" s="19" t="s">
        <v>40</v>
      </c>
      <c r="B14" s="21" t="s">
        <v>41</v>
      </c>
      <c r="C14" s="23"/>
      <c r="D14" s="17" t="s">
        <v>42</v>
      </c>
      <c r="E14" s="21" t="s">
        <v>44</v>
      </c>
      <c r="F14" s="21" t="s">
        <v>45</v>
      </c>
      <c r="G14" s="26" t="s">
        <v>46</v>
      </c>
      <c r="H14" s="25"/>
    </row>
    <row r="15" spans="1:8" ht="15" thickBot="1" x14ac:dyDescent="0.4">
      <c r="A15" s="20"/>
      <c r="B15" s="22"/>
      <c r="C15" s="24"/>
      <c r="D15" s="9" t="s">
        <v>43</v>
      </c>
      <c r="E15" s="22"/>
      <c r="F15" s="22"/>
      <c r="G15" s="27"/>
      <c r="H15" s="28"/>
    </row>
    <row r="16" spans="1:8" ht="25.5" thickBot="1" x14ac:dyDescent="0.4">
      <c r="A16" s="11" t="s">
        <v>47</v>
      </c>
      <c r="B16" s="29">
        <v>8.4927276410000001</v>
      </c>
      <c r="C16" s="10" t="s">
        <v>48</v>
      </c>
      <c r="D16" s="10">
        <v>0.32441709000000002</v>
      </c>
      <c r="E16" s="10">
        <v>26.18</v>
      </c>
      <c r="F16" s="10" t="s">
        <v>39</v>
      </c>
      <c r="G16" s="29">
        <v>7.8548339780000003</v>
      </c>
      <c r="H16" s="30">
        <v>9.130621305</v>
      </c>
    </row>
    <row r="17" spans="1:8" ht="25.5" thickBot="1" x14ac:dyDescent="0.4">
      <c r="A17" s="11" t="s">
        <v>49</v>
      </c>
      <c r="B17" s="16">
        <v>-2.5798069049999999</v>
      </c>
      <c r="C17" s="10" t="s">
        <v>48</v>
      </c>
      <c r="D17" s="10">
        <v>0.59988132000000005</v>
      </c>
      <c r="E17" s="16">
        <v>-4.3</v>
      </c>
      <c r="F17" s="10" t="s">
        <v>39</v>
      </c>
      <c r="G17" s="16">
        <v>-3.7593393829999999</v>
      </c>
      <c r="H17" s="18">
        <v>-1.4002744279999999</v>
      </c>
    </row>
    <row r="18" spans="1:8" ht="26.5" thickBot="1" x14ac:dyDescent="0.4">
      <c r="A18" s="11" t="s">
        <v>50</v>
      </c>
      <c r="B18" s="16">
        <v>-0.48622046099999999</v>
      </c>
      <c r="C18" s="10" t="s">
        <v>48</v>
      </c>
      <c r="D18" s="10">
        <v>0.51750832999999996</v>
      </c>
      <c r="E18" s="16">
        <v>-0.94</v>
      </c>
      <c r="F18" s="10">
        <v>0.34810000000000002</v>
      </c>
      <c r="G18" s="16">
        <v>-1.5037848629999999</v>
      </c>
      <c r="H18" s="12">
        <v>0.53134394100000004</v>
      </c>
    </row>
    <row r="19" spans="1:8" ht="15" thickBot="1" x14ac:dyDescent="0.4">
      <c r="A19" s="11" t="s">
        <v>51</v>
      </c>
      <c r="B19" s="10">
        <v>0</v>
      </c>
      <c r="C19" s="10" t="s">
        <v>48</v>
      </c>
      <c r="D19" s="10" t="s">
        <v>52</v>
      </c>
      <c r="E19" s="10" t="s">
        <v>52</v>
      </c>
      <c r="F19" s="10" t="s">
        <v>52</v>
      </c>
      <c r="G19" s="10" t="s">
        <v>52</v>
      </c>
      <c r="H19" s="12" t="s">
        <v>52</v>
      </c>
    </row>
    <row r="20" spans="1:8" ht="25.5" thickBot="1" x14ac:dyDescent="0.4">
      <c r="A20" s="11" t="s">
        <v>53</v>
      </c>
      <c r="B20" s="29">
        <v>0.47302360199999999</v>
      </c>
      <c r="C20" s="10" t="s">
        <v>48</v>
      </c>
      <c r="D20" s="10">
        <v>4.5428950000000003E-2</v>
      </c>
      <c r="E20" s="10">
        <v>10.41</v>
      </c>
      <c r="F20" s="10" t="s">
        <v>39</v>
      </c>
      <c r="G20" s="29">
        <v>0.38369773299999999</v>
      </c>
      <c r="H20" s="30">
        <v>0.56234947099999999</v>
      </c>
    </row>
    <row r="21" spans="1:8" ht="26.5" thickBot="1" x14ac:dyDescent="0.4">
      <c r="A21" s="11" t="s">
        <v>54</v>
      </c>
      <c r="B21" s="10">
        <v>0.34662445400000003</v>
      </c>
      <c r="C21" s="10" t="s">
        <v>48</v>
      </c>
      <c r="D21" s="10">
        <v>8.4820080000000006E-2</v>
      </c>
      <c r="E21" s="10">
        <v>4.09</v>
      </c>
      <c r="F21" s="10" t="s">
        <v>39</v>
      </c>
      <c r="G21" s="10">
        <v>0.179844737</v>
      </c>
      <c r="H21" s="12">
        <v>0.51340417100000002</v>
      </c>
    </row>
    <row r="22" spans="1:8" ht="26.5" thickBot="1" x14ac:dyDescent="0.4">
      <c r="A22" s="11" t="s">
        <v>55</v>
      </c>
      <c r="B22" s="10">
        <v>4.6643641999999999E-2</v>
      </c>
      <c r="C22" s="10" t="s">
        <v>48</v>
      </c>
      <c r="D22" s="10">
        <v>7.248011E-2</v>
      </c>
      <c r="E22" s="10">
        <v>0.64</v>
      </c>
      <c r="F22" s="10">
        <v>0.52029999999999998</v>
      </c>
      <c r="G22" s="16">
        <v>-9.5872280000000004E-2</v>
      </c>
      <c r="H22" s="12">
        <v>0.189159563</v>
      </c>
    </row>
    <row r="23" spans="1:8" ht="26" x14ac:dyDescent="0.35">
      <c r="A23" s="13" t="s">
        <v>56</v>
      </c>
      <c r="B23" s="14">
        <v>0</v>
      </c>
      <c r="C23" s="14" t="s">
        <v>48</v>
      </c>
      <c r="D23" s="14" t="s">
        <v>52</v>
      </c>
      <c r="E23" s="14" t="s">
        <v>52</v>
      </c>
      <c r="F23" s="14" t="s">
        <v>52</v>
      </c>
      <c r="G23" s="14" t="s">
        <v>52</v>
      </c>
      <c r="H23" s="15" t="s">
        <v>52</v>
      </c>
    </row>
  </sheetData>
  <mergeCells count="6">
    <mergeCell ref="A14:A15"/>
    <mergeCell ref="B14:B15"/>
    <mergeCell ref="C14:C15"/>
    <mergeCell ref="E14:E15"/>
    <mergeCell ref="F14:F15"/>
    <mergeCell ref="G14:H1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B1715-8B99-4F1E-8743-D07B7880A4C7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Brock Friedrich</dc:creator>
  <cp:lastModifiedBy>Brock Friedrich</cp:lastModifiedBy>
  <dcterms:created xsi:type="dcterms:W3CDTF">2018-07-21T20:00:11Z</dcterms:created>
  <dcterms:modified xsi:type="dcterms:W3CDTF">2018-08-12T16:44:37Z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9bcc5ff088384cf1924d0508c915e97f</vt:lpwstr>
  </property>
</Properties>
</file>